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C:\UserData\z000fa8c\Documents\Personal - Joakim\AP Joakim\AP RFQ\CGA &amp; Laser AQ 2019\"/>
    </mc:Choice>
  </mc:AlternateContent>
  <xr:revisionPtr revIDLastSave="0" documentId="8_{324B36D1-3163-4372-93D8-263A3446F962}" xr6:coauthVersionLast="43" xr6:coauthVersionMax="43" xr10:uidLastSave="{00000000-0000-0000-0000-000000000000}"/>
  <bookViews>
    <workbookView xWindow="-110" yWindow="-110" windowWidth="19420" windowHeight="12420" tabRatio="804" xr2:uid="{00000000-000D-0000-FFFF-FFFF00000000}"/>
  </bookViews>
  <sheets>
    <sheet name="General Informations" sheetId="15" r:id="rId1"/>
    <sheet name="Questionnaire LDS6" sheetId="16" r:id="rId2"/>
    <sheet name="Questionnaire SITRANS SL" sheetId="17" r:id="rId3"/>
    <sheet name="Gas composition and ambient" sheetId="18" r:id="rId4"/>
    <sheet name="Special Hardware" sheetId="25" r:id="rId5"/>
    <sheet name="lookups" sheetId="19" state="hidden" r:id="rId6"/>
  </sheets>
  <externalReferences>
    <externalReference r:id="rId7"/>
  </externalReferences>
  <definedNames>
    <definedName name="Analytics_side_towards_process_side">lookups!$J$195</definedName>
    <definedName name="Fournisseurs">[1]Option!$B:$B</definedName>
    <definedName name="LDS6_DE">lookups!$B$40</definedName>
    <definedName name="LDS6_EN">lookups!$B$41</definedName>
    <definedName name="Picture" localSheetId="1">INDIRECT('Questionnaire LDS6'!$A$4)</definedName>
    <definedName name="Picture_SISL" localSheetId="2">INDIRECT('Questionnaire SITRANS SL'!$A$4)</definedName>
    <definedName name="Picture_SISL" localSheetId="4">INDIRECT('Special Hardware'!$A$4)</definedName>
    <definedName name="Process_side_towards_analytics_side">lookups!$J$196</definedName>
    <definedName name="ScrewDirection">lookups!$I$195:$I$196</definedName>
    <definedName name="ScrewDirectionPhoto">INDIRECT('Special Hardware'!$E$32:$G$32)</definedName>
    <definedName name="SISL_DE">lookups!$B$42</definedName>
    <definedName name="SISL_EN">lookups!$B$43</definedName>
    <definedName name="Text57" localSheetId="0">'General Informations'!#REF!</definedName>
    <definedName name="Text58" localSheetId="0">'General Informations'!#REF!</definedName>
    <definedName name="Text59" localSheetId="0">'General Informations'!#REF!</definedName>
    <definedName name="Text60" localSheetId="0">'General Informations'!#REF!</definedName>
    <definedName name="Text61" localSheetId="0">'General Informations'!#REF!</definedName>
    <definedName name="Text62" localSheetId="0">'General Informations'!#REF!</definedName>
    <definedName name="Text63" localSheetId="0">'General Informations'!#REF!</definedName>
    <definedName name="Text64" localSheetId="0">'General Informations'!#REF!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5" i="15" l="1"/>
  <c r="A32" i="15" l="1"/>
  <c r="A31" i="15"/>
  <c r="J19" i="16"/>
  <c r="H19" i="16"/>
  <c r="F16" i="16"/>
  <c r="H16" i="16" s="1"/>
  <c r="J16" i="16" s="1"/>
  <c r="J13" i="16"/>
  <c r="H13" i="16"/>
  <c r="F12" i="16"/>
  <c r="J12" i="16" s="1"/>
  <c r="F18" i="16"/>
  <c r="H15" i="16"/>
  <c r="J15" i="16" s="1"/>
  <c r="H12" i="16"/>
  <c r="H9" i="16"/>
  <c r="F10" i="16"/>
  <c r="AJ45" i="19"/>
  <c r="AI49" i="19" l="1"/>
  <c r="AI48" i="19"/>
  <c r="AI47" i="19"/>
  <c r="AI46" i="19"/>
  <c r="F24" i="16"/>
  <c r="F25" i="16"/>
  <c r="G16" i="17"/>
  <c r="C30" i="18"/>
  <c r="AH46" i="19"/>
  <c r="G20" i="17"/>
  <c r="F28" i="16"/>
  <c r="J28" i="16" s="1"/>
  <c r="A45" i="19"/>
  <c r="A48" i="19"/>
  <c r="G11" i="17"/>
  <c r="G8" i="17"/>
  <c r="J22" i="16"/>
  <c r="H22" i="16"/>
  <c r="F22" i="16"/>
  <c r="H28" i="16" l="1"/>
  <c r="A19" i="25"/>
  <c r="A18" i="25"/>
  <c r="A17" i="25"/>
  <c r="A16" i="25"/>
  <c r="J18" i="16" l="1"/>
  <c r="H10" i="16"/>
  <c r="J10" i="16" l="1"/>
  <c r="A21" i="25"/>
  <c r="D57" i="19"/>
  <c r="A34" i="17"/>
  <c r="AA47" i="19"/>
  <c r="B24" i="17"/>
  <c r="C23" i="17"/>
  <c r="Z50" i="19"/>
  <c r="Z49" i="19"/>
  <c r="Z48" i="19"/>
  <c r="Z47" i="19"/>
  <c r="C35" i="16"/>
  <c r="AD57" i="19" l="1"/>
  <c r="AB57" i="19"/>
  <c r="AC57" i="19"/>
  <c r="A6" i="15"/>
  <c r="G17" i="17" l="1"/>
  <c r="G14" i="17"/>
  <c r="C17" i="17" l="1"/>
  <c r="C14" i="17"/>
  <c r="D20" i="17"/>
  <c r="D19" i="17"/>
  <c r="D16" i="17"/>
  <c r="D15" i="17"/>
  <c r="D13" i="17"/>
  <c r="D12" i="17"/>
  <c r="H24" i="16"/>
  <c r="H25" i="16"/>
  <c r="H23" i="16"/>
  <c r="C25" i="16"/>
  <c r="C22" i="16"/>
  <c r="D28" i="16"/>
  <c r="D27" i="16"/>
  <c r="D24" i="16"/>
  <c r="D23" i="16"/>
  <c r="D21" i="16"/>
  <c r="D20" i="16"/>
  <c r="I6" i="16"/>
  <c r="G6" i="16"/>
  <c r="E6" i="16"/>
  <c r="A6" i="25"/>
  <c r="C32" i="18"/>
  <c r="C29" i="18"/>
  <c r="C26" i="18"/>
  <c r="C23" i="18"/>
  <c r="C20" i="18"/>
  <c r="C17" i="18"/>
  <c r="C14" i="18"/>
  <c r="C11" i="18"/>
  <c r="C8" i="18"/>
  <c r="C31" i="18"/>
  <c r="C28" i="18"/>
  <c r="C25" i="18"/>
  <c r="C22" i="18"/>
  <c r="C19" i="18"/>
  <c r="C16" i="18"/>
  <c r="C13" i="18"/>
  <c r="C10" i="18"/>
  <c r="C7" i="18"/>
  <c r="J25" i="16" l="1"/>
  <c r="J24" i="16"/>
  <c r="J23" i="16"/>
  <c r="G5" i="18"/>
  <c r="I5" i="18"/>
  <c r="F5" i="18"/>
  <c r="C27" i="18"/>
  <c r="C24" i="18"/>
  <c r="C21" i="18"/>
  <c r="C18" i="18"/>
  <c r="C15" i="18"/>
  <c r="C12" i="18"/>
  <c r="C9" i="18"/>
  <c r="C6" i="18"/>
  <c r="F37" i="18"/>
  <c r="F38" i="18"/>
  <c r="A34" i="18"/>
  <c r="A38" i="18"/>
  <c r="A37" i="18"/>
  <c r="A36" i="18"/>
  <c r="A33" i="18"/>
  <c r="A39" i="16"/>
  <c r="F46" i="19" l="1"/>
  <c r="A38" i="15" l="1"/>
  <c r="A31" i="18" l="1"/>
  <c r="A28" i="18"/>
  <c r="A25" i="18"/>
  <c r="A22" i="18"/>
  <c r="K196" i="19" l="1"/>
  <c r="A33" i="25"/>
  <c r="I196" i="19"/>
  <c r="I195" i="19"/>
  <c r="A34" i="25"/>
  <c r="A32" i="25"/>
  <c r="A31" i="25"/>
  <c r="A30" i="25"/>
  <c r="A29" i="25"/>
  <c r="A28" i="25"/>
  <c r="A27" i="25"/>
  <c r="A26" i="25"/>
  <c r="A25" i="25"/>
  <c r="A24" i="25"/>
  <c r="A14" i="25"/>
  <c r="A13" i="25"/>
  <c r="A12" i="25"/>
  <c r="E200" i="19"/>
  <c r="E195" i="19"/>
  <c r="D196" i="19"/>
  <c r="D195" i="19"/>
  <c r="C195" i="19"/>
  <c r="C196" i="19"/>
  <c r="B197" i="19"/>
  <c r="B196" i="19"/>
  <c r="B195" i="19"/>
  <c r="A196" i="19"/>
  <c r="A11" i="25"/>
  <c r="A10" i="25"/>
  <c r="A9" i="25"/>
  <c r="A8" i="25"/>
  <c r="A7" i="25"/>
  <c r="A5" i="25" l="1"/>
  <c r="A3" i="25"/>
  <c r="A4" i="25"/>
  <c r="E1" i="25"/>
  <c r="Y46" i="19"/>
  <c r="A31" i="17"/>
  <c r="A40" i="16" l="1"/>
  <c r="A31" i="16"/>
  <c r="F48" i="19"/>
  <c r="A36" i="16"/>
  <c r="I48" i="19" l="1"/>
  <c r="H18" i="16"/>
  <c r="J9" i="16"/>
  <c r="J27" i="16"/>
  <c r="H27" i="16"/>
  <c r="H26" i="16"/>
  <c r="J26" i="16"/>
  <c r="H20" i="16"/>
  <c r="F21" i="16"/>
  <c r="H21" i="16"/>
  <c r="J21" i="16"/>
  <c r="J20" i="16"/>
  <c r="F109" i="19" l="1"/>
  <c r="F110" i="19"/>
  <c r="F111" i="19"/>
  <c r="F112" i="19"/>
  <c r="F114" i="19"/>
  <c r="F115" i="19"/>
  <c r="F116" i="19"/>
  <c r="F117" i="19"/>
  <c r="F118" i="19"/>
  <c r="F119" i="19"/>
  <c r="B45" i="19"/>
  <c r="C45" i="19"/>
  <c r="B64" i="19" s="1"/>
  <c r="D45" i="19"/>
  <c r="B46" i="19"/>
  <c r="C46" i="19"/>
  <c r="C63" i="19" s="1"/>
  <c r="E46" i="19"/>
  <c r="I46" i="19"/>
  <c r="L46" i="19"/>
  <c r="M46" i="19"/>
  <c r="S46" i="19"/>
  <c r="T46" i="19"/>
  <c r="U46" i="19"/>
  <c r="B47" i="19"/>
  <c r="C47" i="19"/>
  <c r="I47" i="19"/>
  <c r="L47" i="19"/>
  <c r="M47" i="19"/>
  <c r="N47" i="19"/>
  <c r="O47" i="19"/>
  <c r="S47" i="19"/>
  <c r="T47" i="19"/>
  <c r="H48" i="19"/>
  <c r="L48" i="19"/>
  <c r="M48" i="19"/>
  <c r="T48" i="19"/>
  <c r="I49" i="19"/>
  <c r="K49" i="19"/>
  <c r="L49" i="19"/>
  <c r="I50" i="19"/>
  <c r="L50" i="19"/>
  <c r="J51" i="19"/>
  <c r="I63" i="19"/>
  <c r="E64" i="19"/>
  <c r="G64" i="19"/>
  <c r="I64" i="19"/>
  <c r="E66" i="19"/>
  <c r="G66" i="19"/>
  <c r="I66" i="19"/>
  <c r="E68" i="19"/>
  <c r="G68" i="19"/>
  <c r="I68" i="19"/>
  <c r="E70" i="19"/>
  <c r="G70" i="19"/>
  <c r="I70" i="19"/>
  <c r="E71" i="19"/>
  <c r="G71" i="19"/>
  <c r="E72" i="19"/>
  <c r="G72" i="19"/>
  <c r="I72" i="19"/>
  <c r="I73" i="19"/>
  <c r="B113" i="19"/>
  <c r="F113" i="19" s="1"/>
  <c r="B120" i="19"/>
  <c r="F120" i="19" s="1"/>
  <c r="B121" i="19"/>
  <c r="F121" i="19" s="1"/>
  <c r="E1" i="18"/>
  <c r="A3" i="18"/>
  <c r="A4" i="18"/>
  <c r="A6" i="18"/>
  <c r="A9" i="18"/>
  <c r="A12" i="18"/>
  <c r="A15" i="18"/>
  <c r="A18" i="18"/>
  <c r="A21" i="18"/>
  <c r="A24" i="18"/>
  <c r="A27" i="18"/>
  <c r="A30" i="18"/>
  <c r="A41" i="18"/>
  <c r="E1" i="17"/>
  <c r="A3" i="17"/>
  <c r="A4" i="17"/>
  <c r="A5" i="17"/>
  <c r="A6" i="17"/>
  <c r="A7" i="17"/>
  <c r="A8" i="17"/>
  <c r="A9" i="17"/>
  <c r="A10" i="17"/>
  <c r="A11" i="17"/>
  <c r="A12" i="17"/>
  <c r="A15" i="17"/>
  <c r="A18" i="17"/>
  <c r="A19" i="17"/>
  <c r="A21" i="17"/>
  <c r="A22" i="17"/>
  <c r="A23" i="17"/>
  <c r="A25" i="17"/>
  <c r="A26" i="17"/>
  <c r="A27" i="17"/>
  <c r="A28" i="17"/>
  <c r="A29" i="17"/>
  <c r="A30" i="17"/>
  <c r="A32" i="17"/>
  <c r="E1" i="16"/>
  <c r="A3" i="16"/>
  <c r="A4" i="16"/>
  <c r="A5" i="16"/>
  <c r="A7" i="16"/>
  <c r="A8" i="16"/>
  <c r="A9" i="16"/>
  <c r="A10" i="16"/>
  <c r="A11" i="16"/>
  <c r="A12" i="16"/>
  <c r="A13" i="16"/>
  <c r="A14" i="16"/>
  <c r="A15" i="16"/>
  <c r="A16" i="16"/>
  <c r="A17" i="16"/>
  <c r="A18" i="16"/>
  <c r="A19" i="16"/>
  <c r="A20" i="16"/>
  <c r="A23" i="16"/>
  <c r="A26" i="16"/>
  <c r="A27" i="16"/>
  <c r="A29" i="16"/>
  <c r="A30" i="16"/>
  <c r="C32" i="16"/>
  <c r="C33" i="16"/>
  <c r="C34" i="16"/>
  <c r="A37" i="16"/>
  <c r="A38" i="16"/>
  <c r="A41" i="16"/>
  <c r="A42" i="16"/>
  <c r="E1" i="15"/>
  <c r="A2" i="15"/>
  <c r="A4" i="15"/>
  <c r="A5" i="15"/>
  <c r="A7" i="15"/>
  <c r="A8" i="15"/>
  <c r="A9" i="15"/>
  <c r="A10" i="15"/>
  <c r="A11" i="15"/>
  <c r="A12" i="15"/>
  <c r="A14" i="15"/>
  <c r="A15" i="15"/>
  <c r="A16" i="15"/>
  <c r="A17" i="15"/>
  <c r="A18" i="15"/>
  <c r="A19" i="15"/>
  <c r="A20" i="15"/>
  <c r="A21" i="15"/>
  <c r="A22" i="15"/>
  <c r="A24" i="15"/>
  <c r="A25" i="15"/>
  <c r="A26" i="15"/>
  <c r="A27" i="15"/>
  <c r="A28" i="15"/>
  <c r="A34" i="15"/>
  <c r="A37" i="15"/>
  <c r="AC45" i="19" l="1"/>
  <c r="AD45" i="19"/>
  <c r="AB45" i="19"/>
  <c r="B129" i="19"/>
  <c r="B128" i="19"/>
  <c r="B127" i="19"/>
  <c r="B63" i="19"/>
  <c r="D65" i="19"/>
  <c r="E67" i="19"/>
  <c r="E65" i="19"/>
  <c r="B73" i="19"/>
  <c r="D72" i="19"/>
  <c r="G63" i="19"/>
  <c r="D69" i="19"/>
  <c r="B68" i="19"/>
  <c r="E63" i="19"/>
  <c r="G73" i="19"/>
  <c r="E73" i="19"/>
  <c r="C70" i="19"/>
  <c r="D67" i="19"/>
  <c r="B65" i="19"/>
  <c r="D64" i="19"/>
  <c r="D63" i="19"/>
  <c r="D73" i="19"/>
  <c r="E69" i="19"/>
  <c r="C67" i="19"/>
  <c r="G65" i="19"/>
  <c r="C73" i="19"/>
  <c r="B71" i="19"/>
  <c r="D70" i="19"/>
  <c r="C68" i="19"/>
  <c r="B66" i="19"/>
  <c r="C65" i="19"/>
  <c r="C72" i="19"/>
  <c r="D71" i="19"/>
  <c r="B70" i="19"/>
  <c r="C69" i="19"/>
  <c r="G67" i="19"/>
  <c r="B67" i="19"/>
  <c r="D66" i="19"/>
  <c r="C64" i="19"/>
  <c r="B72" i="19"/>
  <c r="C71" i="19"/>
  <c r="G69" i="19"/>
  <c r="B69" i="19"/>
  <c r="D68" i="19"/>
  <c r="C66" i="19"/>
  <c r="AG56" i="19" l="1"/>
  <c r="AG52" i="19"/>
  <c r="AG48" i="19"/>
  <c r="AE55" i="19"/>
  <c r="AE51" i="19"/>
  <c r="AE47" i="19"/>
  <c r="AF54" i="19"/>
  <c r="AF50" i="19"/>
  <c r="AF46" i="19"/>
  <c r="AF52" i="19"/>
  <c r="AE56" i="19"/>
  <c r="AE48" i="19"/>
  <c r="AF51" i="19"/>
  <c r="AG55" i="19"/>
  <c r="AG51" i="19"/>
  <c r="AG47" i="19"/>
  <c r="AE54" i="19"/>
  <c r="AE50" i="19"/>
  <c r="AE46" i="19"/>
  <c r="AF53" i="19"/>
  <c r="AF49" i="19"/>
  <c r="AG54" i="19"/>
  <c r="AG50" i="19"/>
  <c r="AG46" i="19"/>
  <c r="AE53" i="19"/>
  <c r="AE49" i="19"/>
  <c r="AF56" i="19"/>
  <c r="AF48" i="19"/>
  <c r="AG53" i="19"/>
  <c r="AG49" i="19"/>
  <c r="AE52" i="19"/>
  <c r="AF55" i="19"/>
  <c r="AF47" i="19"/>
  <c r="B133" i="19"/>
  <c r="AC46" i="19" l="1"/>
  <c r="AD51" i="19"/>
  <c r="AC54" i="19"/>
  <c r="AC53" i="19"/>
  <c r="AC47" i="19"/>
  <c r="AC51" i="19"/>
  <c r="AC49" i="19"/>
  <c r="AC50" i="19"/>
  <c r="AD54" i="19"/>
  <c r="AC48" i="19"/>
  <c r="AC55" i="19"/>
  <c r="AC52" i="19"/>
  <c r="AD47" i="19"/>
  <c r="AD49" i="19"/>
  <c r="AD46" i="19"/>
  <c r="AC56" i="19"/>
  <c r="AB55" i="19"/>
  <c r="AD55" i="19"/>
  <c r="AB53" i="19"/>
  <c r="AD53" i="19"/>
  <c r="AB50" i="19"/>
  <c r="AD50" i="19"/>
  <c r="AB56" i="19"/>
  <c r="AD56" i="19"/>
  <c r="AB48" i="19"/>
  <c r="AD48" i="19"/>
  <c r="AB52" i="19"/>
  <c r="AD52" i="19"/>
  <c r="AB54" i="19"/>
  <c r="AB49" i="19"/>
  <c r="AB51" i="19"/>
  <c r="AB47" i="19"/>
  <c r="AB46" i="19"/>
</calcChain>
</file>

<file path=xl/sharedStrings.xml><?xml version="1.0" encoding="utf-8"?>
<sst xmlns="http://schemas.openxmlformats.org/spreadsheetml/2006/main" count="934" uniqueCount="549">
  <si>
    <t>Configuring questionnaire for in-situ process analysis</t>
  </si>
  <si>
    <t>Details of end user</t>
  </si>
  <si>
    <t>Customer name:</t>
  </si>
  <si>
    <t>Plant type or process type</t>
  </si>
  <si>
    <t>Contact person:</t>
  </si>
  <si>
    <t>Address:</t>
  </si>
  <si>
    <t>Preferred contact language:</t>
  </si>
  <si>
    <t>Phone:</t>
  </si>
  <si>
    <t>Fax:</t>
  </si>
  <si>
    <t>E-mail:</t>
  </si>
  <si>
    <t>Details of Siemens contact person</t>
  </si>
  <si>
    <t>Sales office/representative:</t>
  </si>
  <si>
    <t>Date of inquiry:</t>
  </si>
  <si>
    <t>Name:</t>
  </si>
  <si>
    <t>Approval result:</t>
  </si>
  <si>
    <t>LDS6: General remarks</t>
  </si>
  <si>
    <t>Sitrans SL: General remarks</t>
  </si>
  <si>
    <t xml:space="preserve">Attention: </t>
  </si>
  <si>
    <t>Channel 1</t>
  </si>
  <si>
    <t>Channel 3</t>
  </si>
  <si>
    <t>Remarks</t>
  </si>
  <si>
    <t>LDS6: Explanatory drawing of requested information and essential application information</t>
  </si>
  <si>
    <t>Measured Component(s)</t>
  </si>
  <si>
    <t>Component 1</t>
  </si>
  <si>
    <t>Measuring Range</t>
  </si>
  <si>
    <t>Typical concentration</t>
  </si>
  <si>
    <t>Desired response time</t>
  </si>
  <si>
    <t>Harzardous sensor environment</t>
  </si>
  <si>
    <t>Suitable purging tube materials</t>
  </si>
  <si>
    <t>Required purging tube length</t>
  </si>
  <si>
    <t>Flange type</t>
  </si>
  <si>
    <t>Additional Remarks</t>
  </si>
  <si>
    <t>Communication interface</t>
  </si>
  <si>
    <t>Repeatability</t>
  </si>
  <si>
    <t>Accuracy</t>
  </si>
  <si>
    <t>Device type</t>
  </si>
  <si>
    <t>Detection Limit</t>
  </si>
  <si>
    <t>Component 2</t>
  </si>
  <si>
    <t>Application</t>
  </si>
  <si>
    <t>Channel 2</t>
  </si>
  <si>
    <t>m</t>
  </si>
  <si>
    <t>[unit]</t>
  </si>
  <si>
    <t>°C</t>
  </si>
  <si>
    <t>Measurement path length</t>
  </si>
  <si>
    <t>mbara</t>
  </si>
  <si>
    <t>s</t>
  </si>
  <si>
    <t>Purging media available on-site</t>
  </si>
  <si>
    <t>Not used</t>
  </si>
  <si>
    <t>EN</t>
  </si>
  <si>
    <t>Language of formular:</t>
  </si>
  <si>
    <t>DE</t>
  </si>
  <si>
    <t>Sprache des Fragebogens:</t>
  </si>
  <si>
    <t xml:space="preserve"> </t>
  </si>
  <si>
    <t>Kunde</t>
  </si>
  <si>
    <t>Kunde:</t>
  </si>
  <si>
    <t>Anlage / Prozesstyp:</t>
  </si>
  <si>
    <t>Kontaktperson:</t>
  </si>
  <si>
    <t>Adresse:</t>
  </si>
  <si>
    <t>Bevorzugte Sprache:</t>
  </si>
  <si>
    <t>Tel:</t>
  </si>
  <si>
    <t>Email:</t>
  </si>
  <si>
    <t>Siemens</t>
  </si>
  <si>
    <t>Standort / Repräsentant:</t>
  </si>
  <si>
    <t>Datum:</t>
  </si>
  <si>
    <t>Anfrage-Nr:</t>
  </si>
  <si>
    <t xml:space="preserve">Fax: </t>
  </si>
  <si>
    <t>Inquiry N°:</t>
  </si>
  <si>
    <t>Projekt-Nr:</t>
  </si>
  <si>
    <t>Nur auszufüllen durch PD PA AP SUP-Mitarbeiter!</t>
  </si>
  <si>
    <t>Kontaktperson PD PA AP SUP:</t>
  </si>
  <si>
    <t>Machbarkeit der Messung:</t>
  </si>
  <si>
    <t>LDS6: Anmerkungen</t>
  </si>
  <si>
    <t>Die Zentraleinheit LDS 6 sollte an einem staubfreien und möglichst erschütterungsfreien Ort aufgestellt werden. Die Entfernung zwischen Zentraleinheit und dem Messpunkt, d.h. den Sensoren, sollte 700 Meter nicht überschreiten. Die relative Luftfeuchte darf 80% nicht übersteigen und die Umgebungstemperatur muss zwischen 5 – 45 °C betragen.  Die Umgebungstemperatur am Installationsort der Sensoren muss zwischen -30 – 70 °C betragen. Spülmedien sollten öl- und staubfrei sein. Instrumentenluft oder N2 sollten bereitgestellt werden mittels flexibler Verrohrung mit 6mm Außendurchmesser. Dampf mittels DN12 Verrohrung. Zwecks Installation und Service muss ein Freiraum von 60x60x60cm um den sender- und empfängerseitigen Sensor bestehen.</t>
  </si>
  <si>
    <t>The central unit must be placed in a control room environment or similar. Relative humidity must be below 80% and ambient temperature range between 5 – 45 °C. Ambient temperature at the sensors must be in the range -30 – 70 °C. Purging media should be oil- and dust free. Instrument air or N2 should be provided using a 6 mm outer diameter flexible tube. Steam should be provided using DN12 tubing. For service/installation of the sensors, a free space of 60x60x60 cm must be available around both the transmitter and receiver.</t>
  </si>
  <si>
    <t>This table to be filled out by PD PA AP SUP staff only!</t>
  </si>
  <si>
    <t>Contact person PD PA AP SUP:</t>
  </si>
  <si>
    <t>Sitrans SL: Anmerkungen</t>
  </si>
  <si>
    <t>Die relative Luftfeuchte muss kleiner 100% sein und die Umgebungstemperatur am Installationsort der Sensoren muss zwischen -20 – 55 °C betragen. Das Spülmedium N2 sollte bereitgestellt werden mittels flexibler Verrohrung mit 6mm Außendurchmesser. Das Spülmedium N2 sollte öl- und staubfrei sein und einen Taupunkt &lt; -10°C aufweisen.  Um die bestmögliche Leistung zu erreichen sollte die N2-Reinheit &gt;99,7% betragen und einen O2-Gehalt &lt; 0,01Vol% aufweisen. Kondensation auf den Optiken ist zu vermeiden. Zwecks Installation und Service muss ein Freiraum von 60x60x60cm um den sender- und empfängerseitigen Sensor bestehen.</t>
  </si>
  <si>
    <t xml:space="preserve">Achtung: </t>
  </si>
  <si>
    <t xml:space="preserve">Relative humidity must be below 100% and ambient temperature at the sensors must be in the range 
-20 – 55°C. Purging medium N2 should be provided using a 6 mm outer diameter flexible tube. 
N2 should be oil- and dust free with dew point &lt; -10°C.  In order to achieve full performance N2 purity must be &gt; 99,7 % and an O2 content of &lt; 0,01Vol% is recommended. Condensation on optical surfaces must be avoided. For service/installation of the sensors, a free space of 60x60x60 cm must be available around both the transmitter and receiver.
</t>
  </si>
  <si>
    <t>Fragebogen für in-situ Prozessanalyse</t>
  </si>
  <si>
    <t>LDS6_DE</t>
  </si>
  <si>
    <t>LDS6_EN</t>
  </si>
  <si>
    <t>SISL_DE</t>
  </si>
  <si>
    <t>SISL_EN</t>
  </si>
  <si>
    <t>LDS6:  Zeichnung zur Erläuterung der angefragten Information</t>
  </si>
  <si>
    <t>Analytical information and sensor demands</t>
  </si>
  <si>
    <t>Analytische Informationen und Sensoranforderungen</t>
  </si>
  <si>
    <t>Messkomponenten</t>
  </si>
  <si>
    <t>Messkomponente 1</t>
  </si>
  <si>
    <t>Messbereich</t>
  </si>
  <si>
    <t>Typische Konzentration</t>
  </si>
  <si>
    <t xml:space="preserve">Required repeatability </t>
  </si>
  <si>
    <t xml:space="preserve">Erforderliche Wiederholgenauigkeit </t>
  </si>
  <si>
    <t>Messkomponente 2</t>
  </si>
  <si>
    <t>min-max, (typical)</t>
  </si>
  <si>
    <t>min-max (typisch)</t>
  </si>
  <si>
    <t xml:space="preserve">Prozessgasdruck </t>
  </si>
  <si>
    <t>Staubbeladung</t>
  </si>
  <si>
    <t>Ex-Zone Sensoren</t>
  </si>
  <si>
    <t>Verfügbares Spülmedium</t>
  </si>
  <si>
    <t>Spülrohrmaterialien</t>
  </si>
  <si>
    <t>Spülrohrlänge</t>
  </si>
  <si>
    <t>Flanschtyp</t>
  </si>
  <si>
    <t xml:space="preserve">Sprache der Dokumentation  </t>
  </si>
  <si>
    <t>Bemerkungen</t>
  </si>
  <si>
    <t xml:space="preserve">Loop cable length </t>
  </si>
  <si>
    <t>Erforderliche Reaktionszeit</t>
  </si>
  <si>
    <t>Kanal 1</t>
  </si>
  <si>
    <t>Kanal 2</t>
  </si>
  <si>
    <t>Kanal 3</t>
  </si>
  <si>
    <t>Sitrans SL:  Zeichnung zur Erläuterung der angefragten Information</t>
  </si>
  <si>
    <t xml:space="preserve">Gas Temperature </t>
  </si>
  <si>
    <t xml:space="preserve">Gas pressure </t>
  </si>
  <si>
    <t xml:space="preserve">Measurement path length </t>
  </si>
  <si>
    <t xml:space="preserve">Dust load </t>
  </si>
  <si>
    <t>Prozessgastemperatur</t>
  </si>
  <si>
    <t>Prozessgasdruck</t>
  </si>
  <si>
    <t>Messpfadlänge</t>
  </si>
  <si>
    <t>Kommunikationsschnittstelle</t>
  </si>
  <si>
    <t>Sensorverbindungskabellänge</t>
  </si>
  <si>
    <t>Process gas composition (major species only)</t>
  </si>
  <si>
    <t>Nitrogen / vol%</t>
  </si>
  <si>
    <t>typical</t>
  </si>
  <si>
    <t>Water vapor / vol%</t>
  </si>
  <si>
    <t>Oxygen / vol%</t>
  </si>
  <si>
    <t>[Einheit]</t>
  </si>
  <si>
    <t>Sauerstoff / vol%</t>
  </si>
  <si>
    <t>Wasserdampf / vol%</t>
  </si>
  <si>
    <t>Stickstoff / vol%</t>
  </si>
  <si>
    <t xml:space="preserve">Gas speed in m/s </t>
  </si>
  <si>
    <t xml:space="preserve">Prozessgasgeschwindigkeit </t>
  </si>
  <si>
    <t>Anmerkungen</t>
  </si>
  <si>
    <t>min-max</t>
  </si>
  <si>
    <t>typisch</t>
  </si>
  <si>
    <t>[Bitte ergänzen]</t>
  </si>
  <si>
    <t>Nachweisgrenze</t>
  </si>
  <si>
    <t>Wiederholgenauigkeit</t>
  </si>
  <si>
    <t>Genauigkeit</t>
  </si>
  <si>
    <t>Kompensationssignal erforderlich</t>
  </si>
  <si>
    <t xml:space="preserve">empfohlener Spülgasfluss </t>
  </si>
  <si>
    <t>Spülung sensorseitig</t>
  </si>
  <si>
    <t xml:space="preserve">Specifications, 
only to be filled out if feasible parameter range differ from those in section 1 or 2.
In case of missing data the catalogue specs are valid.
</t>
  </si>
  <si>
    <t>Measuring range</t>
  </si>
  <si>
    <t>Gas Component 2 feasible?</t>
  </si>
  <si>
    <t>Messkomponente 2 möglich?</t>
  </si>
  <si>
    <t>Messkomponente 1 möglich?</t>
  </si>
  <si>
    <t>Gas Component 1 feasible?</t>
  </si>
  <si>
    <t>Compensation signal required</t>
  </si>
  <si>
    <t>Purging flow recommended</t>
  </si>
  <si>
    <t>Purging sensor side</t>
  </si>
  <si>
    <t>vol%</t>
  </si>
  <si>
    <t>ppmv</t>
  </si>
  <si>
    <t>hPa abs</t>
  </si>
  <si>
    <t>ja</t>
  </si>
  <si>
    <t>nein</t>
  </si>
  <si>
    <t>yes</t>
  </si>
  <si>
    <t>no</t>
  </si>
  <si>
    <t>psia</t>
  </si>
  <si>
    <t>hPa rel</t>
  </si>
  <si>
    <t>Gas Temperature</t>
  </si>
  <si>
    <t>Gas pressure</t>
  </si>
  <si>
    <t>Dust load</t>
  </si>
  <si>
    <t>O2 Hochdruck (0-200°C)</t>
  </si>
  <si>
    <t>O2 high pressure (0-200°C)</t>
  </si>
  <si>
    <t>NH3</t>
  </si>
  <si>
    <t>NH3/H2O</t>
  </si>
  <si>
    <t>HCl</t>
  </si>
  <si>
    <t>HCl/H2O</t>
  </si>
  <si>
    <t>HF</t>
  </si>
  <si>
    <t>HF/H2O</t>
  </si>
  <si>
    <t>CO</t>
  </si>
  <si>
    <t>CO/CO2</t>
  </si>
  <si>
    <t>CO2</t>
  </si>
  <si>
    <t>H2O</t>
  </si>
  <si>
    <t>Andere:</t>
  </si>
  <si>
    <t>Other:</t>
  </si>
  <si>
    <t>Ungenutzt</t>
  </si>
  <si>
    <t>No EEx zone</t>
  </si>
  <si>
    <t>Keine EEx Zone</t>
  </si>
  <si>
    <t>ATEX zone 0/20</t>
  </si>
  <si>
    <t>ATEX zone 1/21</t>
  </si>
  <si>
    <t>ATEX zone 2/22</t>
  </si>
  <si>
    <t>Polypropylen</t>
  </si>
  <si>
    <t>Polypropylene</t>
  </si>
  <si>
    <t>400 mm</t>
  </si>
  <si>
    <t>800 mm</t>
  </si>
  <si>
    <t>1200 mm</t>
  </si>
  <si>
    <t>DN65/PN6</t>
  </si>
  <si>
    <t>ANSI 4"/150lbs</t>
  </si>
  <si>
    <t>Motorprüfstand (DN65/PN6)</t>
  </si>
  <si>
    <t>Engine lab version (DN65/PN6)</t>
  </si>
  <si>
    <t>Yes, unheated, wall mount</t>
  </si>
  <si>
    <t>Yes, unheated, wall mount, pump</t>
  </si>
  <si>
    <t>Yes, heated, wall mount, pump</t>
  </si>
  <si>
    <t>Yes, heated, carrier, wall mount, pump</t>
  </si>
  <si>
    <t>Ja, ungeheizt, Wandmontage</t>
  </si>
  <si>
    <t>Ja, ungeheizt, Wandmontage, Pumpe</t>
  </si>
  <si>
    <t>Ja, geheizt, Wandmontage, Pumpe</t>
  </si>
  <si>
    <t>Ja, geheizt, Rollwagen, Pumpe</t>
  </si>
  <si>
    <t>Customized length:</t>
  </si>
  <si>
    <t>Sonderlänge:</t>
  </si>
  <si>
    <t>Deutsch</t>
  </si>
  <si>
    <t>Englisch</t>
  </si>
  <si>
    <t>Französisch</t>
  </si>
  <si>
    <t>Spanisch</t>
  </si>
  <si>
    <t>German</t>
  </si>
  <si>
    <t>English</t>
  </si>
  <si>
    <t>French</t>
  </si>
  <si>
    <t>Spanish</t>
  </si>
  <si>
    <t>Italian</t>
  </si>
  <si>
    <t>Italienisch</t>
  </si>
  <si>
    <t>Type of measurement</t>
  </si>
  <si>
    <t>Art der Messung</t>
  </si>
  <si>
    <t>Konzentrationsüberwachung</t>
  </si>
  <si>
    <t>beides</t>
  </si>
  <si>
    <t>both</t>
  </si>
  <si>
    <t>Threshold control</t>
  </si>
  <si>
    <t>Concentration monitoring</t>
  </si>
  <si>
    <t>Schwellwertüberwachung</t>
  </si>
  <si>
    <t>N2</t>
  </si>
  <si>
    <t>Instrumentenluft</t>
  </si>
  <si>
    <t>Dampf</t>
  </si>
  <si>
    <t>Steam</t>
  </si>
  <si>
    <t>Trockene Instrumentenluft</t>
  </si>
  <si>
    <t>wenn nötig</t>
  </si>
  <si>
    <t>if necessary</t>
  </si>
  <si>
    <t>MLFB</t>
  </si>
  <si>
    <t>O2</t>
  </si>
  <si>
    <t>A</t>
  </si>
  <si>
    <t>C</t>
  </si>
  <si>
    <t>D</t>
  </si>
  <si>
    <t>E</t>
  </si>
  <si>
    <t>F</t>
  </si>
  <si>
    <t>G</t>
  </si>
  <si>
    <t>H</t>
  </si>
  <si>
    <t>J</t>
  </si>
  <si>
    <t>K</t>
  </si>
  <si>
    <t>L</t>
  </si>
  <si>
    <t>M</t>
  </si>
  <si>
    <t>CO - Kein Methan im Prozess</t>
  </si>
  <si>
    <t>CO - No methan in the process</t>
  </si>
  <si>
    <t>340mm</t>
  </si>
  <si>
    <t>DN50/PN25</t>
  </si>
  <si>
    <t>DN50/PN40</t>
  </si>
  <si>
    <t>5m</t>
  </si>
  <si>
    <t>10m</t>
  </si>
  <si>
    <t>25m</t>
  </si>
  <si>
    <t>Analog</t>
  </si>
  <si>
    <t>PROFIBUS DP</t>
  </si>
  <si>
    <t>Modbus</t>
  </si>
  <si>
    <t>Gas temperature range</t>
  </si>
  <si>
    <t>Prozessgastemperaturintervall</t>
  </si>
  <si>
    <t>(if variable)</t>
  </si>
  <si>
    <t>(if not variable)</t>
  </si>
  <si>
    <t>(wenn variabel)</t>
  </si>
  <si>
    <t>(wenn nicht variabel)</t>
  </si>
  <si>
    <t>Prozessgasdruckintervall</t>
  </si>
  <si>
    <t>Gas Pressure range</t>
  </si>
  <si>
    <t xml:space="preserve">Eingeschränkt: </t>
  </si>
  <si>
    <t xml:space="preserve">Limited: </t>
  </si>
  <si>
    <t>FM Cl I,II,III DIV I T6</t>
  </si>
  <si>
    <t>Spülung prozessseitig möglich mit</t>
  </si>
  <si>
    <t>Purging process side possible with</t>
  </si>
  <si>
    <t>CA</t>
  </si>
  <si>
    <t>nötig?</t>
  </si>
  <si>
    <t>needed?</t>
  </si>
  <si>
    <t>nur bei korrosiver Umgebungsluft</t>
  </si>
  <si>
    <t>only if air is corrosive</t>
  </si>
  <si>
    <t>möglich mit:</t>
  </si>
  <si>
    <t>possible with:</t>
  </si>
  <si>
    <t>Sensor purge needed</t>
  </si>
  <si>
    <t>AC</t>
  </si>
  <si>
    <t>AB</t>
  </si>
  <si>
    <t>AP</t>
  </si>
  <si>
    <t>600 … 1200</t>
  </si>
  <si>
    <t>0 … 600</t>
  </si>
  <si>
    <t>0 … 200</t>
  </si>
  <si>
    <t>0 … 150</t>
  </si>
  <si>
    <t>250 … 350</t>
  </si>
  <si>
    <t>300 … 400</t>
  </si>
  <si>
    <t>0 … 400</t>
  </si>
  <si>
    <t>120 … 210</t>
  </si>
  <si>
    <t>150 … 250</t>
  </si>
  <si>
    <t>CT</t>
  </si>
  <si>
    <t>CE</t>
  </si>
  <si>
    <t>CF</t>
  </si>
  <si>
    <t>CL</t>
  </si>
  <si>
    <t>DA</t>
  </si>
  <si>
    <t>DT</t>
  </si>
  <si>
    <t>DF</t>
  </si>
  <si>
    <t>DL</t>
  </si>
  <si>
    <t>EA</t>
  </si>
  <si>
    <t>ET</t>
  </si>
  <si>
    <t>EH</t>
  </si>
  <si>
    <t>FA</t>
  </si>
  <si>
    <t>FT</t>
  </si>
  <si>
    <t>950 … 1050</t>
  </si>
  <si>
    <t>950 … 5000</t>
  </si>
  <si>
    <t>920 … 1120</t>
  </si>
  <si>
    <t>500ppmv</t>
  </si>
  <si>
    <t>100ppmv</t>
  </si>
  <si>
    <t>6000ppmv</t>
  </si>
  <si>
    <t>60ppmv</t>
  </si>
  <si>
    <t>150…250</t>
  </si>
  <si>
    <t>FH</t>
  </si>
  <si>
    <t>240%*m</t>
  </si>
  <si>
    <t>75%*m</t>
  </si>
  <si>
    <t>2500ppmv*m</t>
  </si>
  <si>
    <t>1200ppmv*m</t>
  </si>
  <si>
    <t>720ppmv*m</t>
  </si>
  <si>
    <t>c limit</t>
  </si>
  <si>
    <t>c*m limit</t>
  </si>
  <si>
    <t>DL without crossgas</t>
  </si>
  <si>
    <t>DL with crossgas</t>
  </si>
  <si>
    <t>GA</t>
  </si>
  <si>
    <t>GH</t>
  </si>
  <si>
    <t>HA</t>
  </si>
  <si>
    <t>HH</t>
  </si>
  <si>
    <t>JC</t>
  </si>
  <si>
    <t>KD</t>
  </si>
  <si>
    <t>LA</t>
  </si>
  <si>
    <t>MA</t>
  </si>
  <si>
    <t>MT</t>
  </si>
  <si>
    <t>800 … 1400</t>
  </si>
  <si>
    <t>1500ppmv</t>
  </si>
  <si>
    <t>200ppmv</t>
  </si>
  <si>
    <t>200pppmv</t>
  </si>
  <si>
    <t>0.1ppmv*m</t>
  </si>
  <si>
    <t>0.11ppmv*m @150deg</t>
  </si>
  <si>
    <t>200ppmv*m</t>
  </si>
  <si>
    <t>40%*m</t>
  </si>
  <si>
    <t>200%*m</t>
  </si>
  <si>
    <t>2 up to 200deg, 5 above</t>
  </si>
  <si>
    <t>Bestellinformation</t>
  </si>
  <si>
    <t>LDS 6 Zentraleinheit</t>
  </si>
  <si>
    <t>CD 6 Sensor, Kanal 1</t>
  </si>
  <si>
    <t>CD 6 Sensor, Kanal 3</t>
  </si>
  <si>
    <t>CD 6 Sensor, Kanal 2</t>
  </si>
  <si>
    <t>Beschreibung</t>
  </si>
  <si>
    <t>Description</t>
  </si>
  <si>
    <t>Spezielles Material</t>
  </si>
  <si>
    <t>Special Hardware</t>
  </si>
  <si>
    <t>Order information</t>
  </si>
  <si>
    <t>MFLB</t>
  </si>
  <si>
    <t>Order #</t>
  </si>
  <si>
    <t>CD 6 Sensor, Channel 1</t>
  </si>
  <si>
    <t>CD 6 Sensor, Channel 2</t>
  </si>
  <si>
    <t>CD 6 Sensor, Channel 3</t>
  </si>
  <si>
    <t>LDS 6 Central unit</t>
  </si>
  <si>
    <t>Sitrans SL: Return Form - to be filled out by PD PA AP SUP staff only!</t>
  </si>
  <si>
    <t>Sitrans SL Spezifikationsformular: nur auszufüllen durch PD PA AP SUP-Mitarbeiter</t>
  </si>
  <si>
    <t xml:space="preserve">Spezifikationen, nur auszufüllen falls Abweichungen zwischen erreichbaren Messparametern und den angeforderten Parametern angegeben in Abschnitt 1 und 2.
Bei fehlenden Angaben sind die Katalogspezifikationen gültig.
Bei fehlenden Angaben sind die Katalogspezifikationen gültig.
</t>
  </si>
  <si>
    <t>Schwellwert (wenn zutreffend):</t>
  </si>
  <si>
    <t>Threshold (if applicable)</t>
  </si>
  <si>
    <t>mbar abs</t>
  </si>
  <si>
    <t>mbar rel</t>
  </si>
  <si>
    <t>mbarg</t>
  </si>
  <si>
    <t>psig</t>
  </si>
  <si>
    <t>°F</t>
  </si>
  <si>
    <t>abgeraten</t>
  </si>
  <si>
    <t>disadvised</t>
  </si>
  <si>
    <t>Gebläseluft</t>
  </si>
  <si>
    <t>Air blower</t>
  </si>
  <si>
    <t>inch</t>
  </si>
  <si>
    <t>Keine</t>
  </si>
  <si>
    <t>None</t>
  </si>
  <si>
    <t>Pressure</t>
  </si>
  <si>
    <t>?</t>
  </si>
  <si>
    <t xml:space="preserve">Reaktionszeit </t>
  </si>
  <si>
    <t>minimal</t>
  </si>
  <si>
    <t>F-Preis</t>
  </si>
  <si>
    <t>L-Preis</t>
  </si>
  <si>
    <t>F-Price</t>
  </si>
  <si>
    <t>L-Price</t>
  </si>
  <si>
    <t>SITRANS SL</t>
  </si>
  <si>
    <t>Response time</t>
  </si>
  <si>
    <t>Siehe PMD</t>
  </si>
  <si>
    <t>See PMD</t>
  </si>
  <si>
    <t>-</t>
  </si>
  <si>
    <t>Compose MLFB LDS6</t>
  </si>
  <si>
    <t>7MB6121-</t>
  </si>
  <si>
    <t>Hastelloy C-22</t>
  </si>
  <si>
    <t>Integration time</t>
  </si>
  <si>
    <t>Integrationsdauer</t>
  </si>
  <si>
    <t>1…100s, frei setzbar</t>
  </si>
  <si>
    <t>1…100s, adjustable</t>
  </si>
  <si>
    <t xml:space="preserve">Spezifikationen
Für nicht gelistete Eigenschaften und bei fehlenden Angaben sind die Katalogspezifikationen gültig.
</t>
  </si>
  <si>
    <t>Specifications
For specification not listed below and in case of missing data the catalogue specs are valid.</t>
  </si>
  <si>
    <t>SIL requirement?</t>
  </si>
  <si>
    <t>SIL benötigt?</t>
  </si>
  <si>
    <t>SIL1</t>
  </si>
  <si>
    <t>Sonderteile</t>
  </si>
  <si>
    <t>1m</t>
  </si>
  <si>
    <t>Special length:</t>
  </si>
  <si>
    <t>Gerätetyp und Seriennummer des zugehörigen Gerätes (wenn bereits vorhanden)</t>
  </si>
  <si>
    <t>1m (standard)</t>
  </si>
  <si>
    <t>Halterung</t>
  </si>
  <si>
    <t>Mount</t>
  </si>
  <si>
    <t>Gestell zur Wandmontage</t>
  </si>
  <si>
    <t>Wall mounted frame</t>
  </si>
  <si>
    <t>Mobile frame</t>
  </si>
  <si>
    <t>ohne Gestell</t>
  </si>
  <si>
    <t>without frame</t>
  </si>
  <si>
    <t>Heizsystem</t>
  </si>
  <si>
    <t>Heating system</t>
  </si>
  <si>
    <t>ohne</t>
  </si>
  <si>
    <t>none</t>
  </si>
  <si>
    <t>Heizsystem mit Regler, bis zu 200°C</t>
  </si>
  <si>
    <t>Heating system with regulator, max 200°C</t>
  </si>
  <si>
    <t>benötigt</t>
  </si>
  <si>
    <t>required</t>
  </si>
  <si>
    <t>2m</t>
  </si>
  <si>
    <t>Spannung</t>
  </si>
  <si>
    <t>Voltage</t>
  </si>
  <si>
    <t>110V</t>
  </si>
  <si>
    <t>230V</t>
  </si>
  <si>
    <t>Language of documentation</t>
  </si>
  <si>
    <t>Sprache der Dokumentation</t>
  </si>
  <si>
    <t>Special length (full meters):</t>
  </si>
  <si>
    <t>Sonderlänge (ganze meter):</t>
  </si>
  <si>
    <t>Gerätetyp</t>
  </si>
  <si>
    <t>CD6</t>
  </si>
  <si>
    <t>Number of flanges</t>
  </si>
  <si>
    <t>Anzahl an Flanschen</t>
  </si>
  <si>
    <t>or</t>
  </si>
  <si>
    <t>Druck</t>
  </si>
  <si>
    <t>Dicke</t>
  </si>
  <si>
    <t>Diameter</t>
  </si>
  <si>
    <t>Regulation</t>
  </si>
  <si>
    <t>Norm</t>
  </si>
  <si>
    <t>oder</t>
  </si>
  <si>
    <t>Thickness</t>
  </si>
  <si>
    <t>Direction of fastening</t>
  </si>
  <si>
    <t>Screws screwed from device side to process side</t>
  </si>
  <si>
    <t>Screws screwed from process side to device side</t>
  </si>
  <si>
    <t>Richtung der Schrauben</t>
  </si>
  <si>
    <t>Anzahl der Dichtungen</t>
  </si>
  <si>
    <t>Number of gaskets</t>
  </si>
  <si>
    <t>Dichtungsmaterial</t>
  </si>
  <si>
    <t>Material of gaskets</t>
  </si>
  <si>
    <t>Graphit</t>
  </si>
  <si>
    <t>Graphite</t>
  </si>
  <si>
    <t>Viton</t>
  </si>
  <si>
    <t>Schrauben von Geräteseite aus in Richtung Prozess geschraubt</t>
  </si>
  <si>
    <t>Schrauben von Prozessseite aus in Richtung Gerät geschraubt</t>
  </si>
  <si>
    <t>ch1</t>
  </si>
  <si>
    <t>ch2</t>
  </si>
  <si>
    <t>ch3</t>
  </si>
  <si>
    <t>Sitrans SL: Explanatory drawing of requested information and essential application information</t>
  </si>
  <si>
    <t>typisch unter Messbedingungen</t>
  </si>
  <si>
    <t>max design</t>
  </si>
  <si>
    <t>max Auslegung</t>
  </si>
  <si>
    <t>min-max during measurement</t>
  </si>
  <si>
    <t>typical during measurement</t>
  </si>
  <si>
    <t>- For ATEX version, the temperature of the process flange must not exceed 70°C.
- The LDS6 will provide active (self-supplied) 4-20mA analog output signals
- The Sitrans SL will provide passive (non-self-supplied) 4-20mA analog output signals,  for Sitrans SL an external isolating power supply (7,5-30V) for each analog output signal is required, e.g. Sitrans I</t>
  </si>
  <si>
    <t>- Die Temperatur am Flansch darf für ATEX Versionen 70°C nicht überschreiten.
- LDS6: Die 4-20mA Analog-Ausgänge sind aktiv (selbstversorgend)
- Sitrans SL: Die 4-20mA Analog-Ausgänge sind passiv , ein zusätzlicher Speisetrenner (7,5-30V) muss für jeden Analogausgang bereitgestellt werden, z.B. Sitrans I</t>
  </si>
  <si>
    <t>Ergebnis Messanfrage (wenn machbar, Vorschlag unter "Response Form")</t>
  </si>
  <si>
    <t>Result of inquiry evaluation (if measurement feasible, proposal in sheet(s) titled ''Return Form")</t>
  </si>
  <si>
    <t>1.4403/316L</t>
  </si>
  <si>
    <t>EN 15267 / QAL1 benötigt?</t>
  </si>
  <si>
    <t>EN 15267 / QAL1 requirement?</t>
  </si>
  <si>
    <t>User documentation language</t>
  </si>
  <si>
    <t>Ambient conditions</t>
  </si>
  <si>
    <t>Umgebungsbedingungen</t>
  </si>
  <si>
    <t>Amb. temp. range</t>
  </si>
  <si>
    <t>Umgebungstemperatur</t>
  </si>
  <si>
    <t>Amb. humidity (rel.) range</t>
  </si>
  <si>
    <t>in m/s</t>
  </si>
  <si>
    <t>Umgebungsdruck</t>
  </si>
  <si>
    <t>Amb. pressure range</t>
  </si>
  <si>
    <t>Höhe über Meerespiegel</t>
  </si>
  <si>
    <t>Altitude above sea level</t>
  </si>
  <si>
    <t>[Please fill in]</t>
  </si>
  <si>
    <t>min-max unter Messung</t>
  </si>
  <si>
    <t>Analyzer MLFB and serial number (in case of already delivered analyzer)</t>
  </si>
  <si>
    <t>Pfadlänge</t>
  </si>
  <si>
    <t>Path length</t>
  </si>
  <si>
    <t>Gas jet pump</t>
  </si>
  <si>
    <t>Gasstrahlpumpe</t>
  </si>
  <si>
    <t>min-max Auslegung</t>
  </si>
  <si>
    <t>min-max design</t>
  </si>
  <si>
    <t>Please note:</t>
  </si>
  <si>
    <t>Bitte beachten</t>
  </si>
  <si>
    <t>Instrument air</t>
  </si>
  <si>
    <t>1/ Bypass-Messzelle für extraktive Messung</t>
  </si>
  <si>
    <t>1/ Flowcell for extractive measurement</t>
  </si>
  <si>
    <t>2/ Special Flange (Not to be used with EX-Devices)</t>
  </si>
  <si>
    <t>2/ Spezialflansch (Nicht in Verbindung mit EX-Geräten)</t>
  </si>
  <si>
    <t>Mobiles Gestell</t>
  </si>
  <si>
    <t>LDS6 and Sitrans SL: Bitte die folgenden Informationen zum Prozess ergänzen</t>
  </si>
  <si>
    <t>preferably</t>
  </si>
  <si>
    <t>bevorzugt</t>
  </si>
  <si>
    <t>other:</t>
  </si>
  <si>
    <t>anderes:</t>
  </si>
  <si>
    <t>N2 vorhanden ?</t>
  </si>
  <si>
    <t>N2 available ?</t>
  </si>
  <si>
    <t>Spülmedium</t>
  </si>
  <si>
    <t>Purge medium</t>
  </si>
  <si>
    <t>gewünschtes Spülmedium*</t>
  </si>
  <si>
    <t>wished purging medium*</t>
  </si>
  <si>
    <t>*Caution: A purging medium containing O2 will decrease the measurement accuracy or will totally prevent the measurement, depending on setup and process conditions.</t>
  </si>
  <si>
    <t>*Achtung: Ein Spülgas das O2 enthält wird, je nach Aufbau und Prozess, die Messgenauigkeit verringern oder die Messung ganz verhindern.</t>
  </si>
  <si>
    <t>Hybridkabellänge [m]</t>
  </si>
  <si>
    <t>Sensorverbindungskabellänge [m]</t>
  </si>
  <si>
    <t>Loop cable length [meter]</t>
  </si>
  <si>
    <t>Hybrid cable length [meter]</t>
  </si>
  <si>
    <t>Heated gas inlet line with regulator (max 200°C)</t>
  </si>
  <si>
    <t>Heated gas outlet line with regulator (max 200°C)</t>
  </si>
  <si>
    <t>Beheizte Gasableitung mit Regler (max 200°C)</t>
  </si>
  <si>
    <t>Beheizte Gaszuleitung mit Regler (max 200°C)</t>
  </si>
  <si>
    <t>Weitere Sonderteilanfragen</t>
  </si>
  <si>
    <t>Other hardware requests</t>
  </si>
  <si>
    <t>Kit Typ</t>
  </si>
  <si>
    <t>Messgas</t>
  </si>
  <si>
    <t>Measurement gas</t>
  </si>
  <si>
    <t>Konzentration</t>
  </si>
  <si>
    <t>Concentration</t>
  </si>
  <si>
    <t>Driftprüfkit</t>
  </si>
  <si>
    <t>Kalibrierprüfkit</t>
  </si>
  <si>
    <t>kPa abs</t>
  </si>
  <si>
    <t>kPa rel</t>
  </si>
  <si>
    <t>% meas.</t>
  </si>
  <si>
    <t>% Messwert</t>
  </si>
  <si>
    <t>mg/Nm³</t>
  </si>
  <si>
    <t>Luftfeuchtigkeit (rel.)</t>
  </si>
  <si>
    <t>Test kits</t>
  </si>
  <si>
    <t>Calibration verification kits</t>
  </si>
  <si>
    <t>Zero gas test kit</t>
  </si>
  <si>
    <t>Linearity verification kit</t>
  </si>
  <si>
    <t>Drift verification kits</t>
  </si>
  <si>
    <t>Type of kit</t>
  </si>
  <si>
    <t>Test-Kits</t>
  </si>
  <si>
    <t>Nullgas-Prüfkit</t>
  </si>
  <si>
    <t>Linearitätsprüfkit</t>
  </si>
  <si>
    <t>TIIS</t>
  </si>
  <si>
    <t>not possible</t>
  </si>
  <si>
    <t>nicht möglich</t>
  </si>
  <si>
    <r>
      <t>Project N</t>
    </r>
    <r>
      <rPr>
        <b/>
        <vertAlign val="superscript"/>
        <sz val="9"/>
        <color theme="0"/>
        <rFont val="Arial"/>
        <family val="2"/>
      </rPr>
      <t>°</t>
    </r>
    <r>
      <rPr>
        <b/>
        <sz val="9"/>
        <color theme="0"/>
        <rFont val="Arial"/>
        <family val="2"/>
      </rPr>
      <t>:</t>
    </r>
  </si>
  <si>
    <r>
      <t>Prozessgasmatrix</t>
    </r>
    <r>
      <rPr>
        <sz val="9"/>
        <color theme="0"/>
        <rFont val="Arial"/>
        <family val="2"/>
      </rPr>
      <t xml:space="preserve"> </t>
    </r>
    <r>
      <rPr>
        <b/>
        <sz val="10"/>
        <color theme="0"/>
        <rFont val="Arial"/>
        <family val="2"/>
      </rPr>
      <t>(Hauptkomponenten)</t>
    </r>
  </si>
  <si>
    <r>
      <t>CO</t>
    </r>
    <r>
      <rPr>
        <b/>
        <vertAlign val="subscript"/>
        <sz val="9"/>
        <color theme="0"/>
        <rFont val="Arial"/>
        <family val="2"/>
      </rPr>
      <t>2</t>
    </r>
    <r>
      <rPr>
        <b/>
        <sz val="9"/>
        <color theme="0"/>
        <rFont val="Arial"/>
        <family val="2"/>
      </rPr>
      <t xml:space="preserve"> / vol%</t>
    </r>
  </si>
  <si>
    <r>
      <t xml:space="preserve">LDS6 and Sitrans SL: </t>
    </r>
    <r>
      <rPr>
        <u/>
        <sz val="9"/>
        <color theme="0"/>
        <rFont val="Arial"/>
        <family val="2"/>
      </rPr>
      <t>Please fill out the following informations about the process</t>
    </r>
  </si>
  <si>
    <r>
      <t xml:space="preserve">LDS6 Spezifikationsformular: </t>
    </r>
    <r>
      <rPr>
        <sz val="10"/>
        <color theme="0"/>
        <rFont val="Arial"/>
        <family val="2"/>
      </rPr>
      <t>nur auszufüllen durch PD PA AP SUP-Mitarbeiter</t>
    </r>
  </si>
  <si>
    <r>
      <t xml:space="preserve">LDS6: Return Form - </t>
    </r>
    <r>
      <rPr>
        <sz val="12"/>
        <color theme="0"/>
        <rFont val="Arial"/>
        <family val="2"/>
      </rPr>
      <t>to be filled out by PD PA AP SUP staff only!</t>
    </r>
  </si>
  <si>
    <r>
      <t>mg/m</t>
    </r>
    <r>
      <rPr>
        <vertAlign val="superscript"/>
        <sz val="10"/>
        <color theme="0"/>
        <rFont val="Arial"/>
        <family val="2"/>
      </rPr>
      <t>³</t>
    </r>
  </si>
  <si>
    <r>
      <t>g/Nm</t>
    </r>
    <r>
      <rPr>
        <vertAlign val="superscript"/>
        <sz val="10"/>
        <color theme="0"/>
        <rFont val="Arial"/>
        <family val="2"/>
      </rPr>
      <t>³</t>
    </r>
  </si>
  <si>
    <r>
      <t>g/m</t>
    </r>
    <r>
      <rPr>
        <vertAlign val="superscript"/>
        <sz val="10"/>
        <color theme="0"/>
        <rFont val="Arial"/>
        <family val="2"/>
      </rPr>
      <t>³</t>
    </r>
  </si>
  <si>
    <t xml:space="preserve">- Um ein an Ihre Bedürfnisse angepasstes Angebot zu erhalten, füllen Sie bitte die Arbeitsblätter "General Informations", "Gas composition and ambient", sowie je nach gewünschtem Gerät das Arbeitsblatt "Questionnaire LDS6" oder "Questionnaire SITRANS SL" aus.
- Alle auszufüllenden Felder haben einen weißen Hintergrund. Felder die nicht ausfüllen sind, werden für aus unserer Sicht für Ihre Applikation als unrelevant angesehen. Mögliche Probleme die aus unausgefüllten Zellen resultieren unterliegen Ihrer Verantwortung.
- Sollte Sonderhardware benötigt werden, füllen Sie bitte ebenfalls das Arbeitsblatt "Special Hardware" aus.
- Bitte nehmen Sie zur Kenntnis, dass fehlende oder fehlerhafte Informationen zu einem unpassenden Angebot sowie zu erhöhten Angebotskosten führen können. Informieren Sie uns daher bitte, wenn Angaben unsicher sind oder sich noch signifikant ändern können. Dazu können Sie das Feld "Anmerkungen" des Arbeitsblatts "Process gas composition and amb" nutzen. Sollten Sie alternative Bedingungen kennen, z.B. wenn Sie nicht wissen welches Gerät am besten geeignet ist, können Sie uns auch darüber in diesem Feld informieren.
- Um eine effizientere Antwort zu erlauben, nutzen Sie bitte die Auswahllisten. Bitte schreiben Sie keine Einheiten als Freitext in die Zellen.
- Alle relevanten Informationen müssen in diesem Dokument enthalten sein. Informationen die sich nur im Service Request befinden werden nicht beachtet.
- Wenn nicht anders in unserer Antwort angegeben, bleiben Anleitungen und Spezifikationen des AP 01 Katalogs gültig.
</t>
  </si>
  <si>
    <t xml:space="preserve">-- In order to receive an offer adapted to your needs, please fill in the worksheets "General Information", "Gas composition and ambient", as well as the worksheet "Questionnaire LDS6" or "Questionnaire SITRANS SL", depending on the desired device.
- All fields to be filled in have a white background. Fields that are not filled in are considered irrelevant for your application. Possible problems resulting from unfilled cells are your responsibility.
- If special hardware is required, please also fill in the worksheet "Special Hardware".
- Please note that missing or incorrect information can lead to an inappropriate offer as well as to increased offer costs. Therefore, please inform us if information is uncertain or may change significantly. You can use the "Notes" field of the "Process gas composition and amb" worksheet to do this. If you know alternative conditions, e.g. if you do not know which device is best suited, you can also inform us about it in this field.
- In order to allow a more efficient answer, please use the selection lists. Please do not write units as free text in the cells.
- All relevant information must be included in this document. Information that is only in the Service Request will not be considered.
- Unless otherwise indicated in our answer, all instructions and specifications from AP 01 catalog stay valid.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</si>
</sst>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Arial"/>
      <family val="2"/>
    </font>
    <font>
      <b/>
      <sz val="10"/>
      <color theme="0"/>
      <name val="Arial"/>
      <family val="2"/>
    </font>
    <font>
      <b/>
      <sz val="10"/>
      <color theme="1"/>
      <name val="Arial"/>
      <family val="2"/>
    </font>
    <font>
      <sz val="10"/>
      <color theme="0"/>
      <name val="Arial"/>
      <family val="2"/>
    </font>
    <font>
      <sz val="9"/>
      <color theme="1"/>
      <name val="Arial"/>
      <family val="2"/>
    </font>
    <font>
      <b/>
      <sz val="9"/>
      <color theme="1"/>
      <name val="Arial"/>
      <family val="2"/>
    </font>
    <font>
      <b/>
      <sz val="9"/>
      <color rgb="FF000000"/>
      <name val="Arial"/>
      <family val="2"/>
    </font>
    <font>
      <b/>
      <u/>
      <sz val="9"/>
      <color theme="1"/>
      <name val="Arial"/>
      <family val="2"/>
    </font>
    <font>
      <sz val="9"/>
      <color rgb="FF000000"/>
      <name val="Arial"/>
      <family val="2"/>
    </font>
    <font>
      <sz val="9"/>
      <color theme="0"/>
      <name val="Arial"/>
      <family val="2"/>
    </font>
    <font>
      <b/>
      <u/>
      <sz val="9"/>
      <color theme="0"/>
      <name val="Arial"/>
      <family val="2"/>
    </font>
    <font>
      <u/>
      <sz val="10"/>
      <color theme="10"/>
      <name val="Arial"/>
      <family val="2"/>
    </font>
    <font>
      <b/>
      <sz val="9"/>
      <color theme="0"/>
      <name val="Arial"/>
      <family val="2"/>
    </font>
    <font>
      <u/>
      <sz val="10"/>
      <color theme="0"/>
      <name val="Arial"/>
      <family val="2"/>
    </font>
    <font>
      <b/>
      <vertAlign val="superscript"/>
      <sz val="9"/>
      <color theme="0"/>
      <name val="Arial"/>
      <family val="2"/>
    </font>
    <font>
      <sz val="12"/>
      <color theme="0"/>
      <name val="Arial"/>
      <family val="2"/>
    </font>
    <font>
      <b/>
      <vertAlign val="subscript"/>
      <sz val="9"/>
      <color theme="0"/>
      <name val="Arial"/>
      <family val="2"/>
    </font>
    <font>
      <u/>
      <sz val="9"/>
      <color theme="0"/>
      <name val="Arial"/>
      <family val="2"/>
    </font>
    <font>
      <b/>
      <sz val="12"/>
      <color theme="0"/>
      <name val="Arial"/>
      <family val="2"/>
    </font>
    <font>
      <vertAlign val="superscript"/>
      <sz val="10"/>
      <color theme="0"/>
      <name val="Arial"/>
      <family val="2"/>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800080"/>
        <bgColor indexed="64"/>
      </patternFill>
    </fill>
    <fill>
      <patternFill patternType="solid">
        <fgColor theme="0" tint="-0.249977111117893"/>
        <bgColor indexed="64"/>
      </patternFill>
    </fill>
    <fill>
      <patternFill patternType="solid">
        <fgColor theme="0"/>
        <bgColor indexed="64"/>
      </patternFill>
    </fill>
  </fills>
  <borders count="20">
    <border>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299">
    <xf numFmtId="0" fontId="0" fillId="0" borderId="0" xfId="0"/>
    <xf numFmtId="0" fontId="5" fillId="0" borderId="0" xfId="0" applyFont="1"/>
    <xf numFmtId="0" fontId="0" fillId="0" borderId="0" xfId="0" applyAlignment="1">
      <alignment horizontal="right"/>
    </xf>
    <xf numFmtId="0" fontId="0" fillId="0" borderId="0" xfId="0" applyAlignment="1"/>
    <xf numFmtId="0" fontId="0" fillId="0" borderId="0" xfId="0" applyAlignment="1">
      <alignment vertical="center"/>
    </xf>
    <xf numFmtId="0" fontId="0" fillId="0" borderId="0" xfId="0"/>
    <xf numFmtId="0" fontId="0" fillId="0" borderId="0" xfId="0" applyAlignment="1">
      <alignment horizontal="center" vertical="center"/>
    </xf>
    <xf numFmtId="0" fontId="11"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vertical="top"/>
    </xf>
    <xf numFmtId="0" fontId="0" fillId="0" borderId="0" xfId="0" applyFill="1" applyBorder="1" applyProtection="1"/>
    <xf numFmtId="0" fontId="0" fillId="0" borderId="0" xfId="0" applyProtection="1"/>
    <xf numFmtId="0" fontId="7" fillId="0" borderId="0" xfId="0" applyFont="1" applyAlignment="1" applyProtection="1">
      <alignment vertical="center"/>
    </xf>
    <xf numFmtId="0" fontId="2" fillId="0" borderId="4" xfId="0" applyFont="1" applyFill="1" applyBorder="1" applyProtection="1"/>
    <xf numFmtId="0" fontId="0" fillId="0" borderId="0" xfId="0" applyFill="1" applyBorder="1" applyAlignment="1" applyProtection="1">
      <alignment horizontal="left"/>
    </xf>
    <xf numFmtId="0" fontId="0" fillId="0" borderId="0" xfId="0" applyAlignment="1" applyProtection="1">
      <alignment horizontal="center" vertical="center"/>
    </xf>
    <xf numFmtId="0" fontId="0" fillId="0" borderId="0" xfId="0"/>
    <xf numFmtId="0" fontId="0" fillId="0" borderId="4" xfId="0" applyBorder="1" applyProtection="1">
      <protection locked="0"/>
    </xf>
    <xf numFmtId="0" fontId="0" fillId="0" borderId="3" xfId="0" applyBorder="1" applyProtection="1">
      <protection locked="0"/>
    </xf>
    <xf numFmtId="0" fontId="2" fillId="0" borderId="4" xfId="0" applyFont="1" applyFill="1" applyBorder="1" applyAlignment="1" applyProtection="1">
      <alignment horizontal="center"/>
      <protection locked="0"/>
    </xf>
    <xf numFmtId="0" fontId="0" fillId="0" borderId="0" xfId="0" applyFill="1" applyBorder="1" applyAlignment="1" applyProtection="1">
      <alignment horizontal="right"/>
    </xf>
    <xf numFmtId="0" fontId="7" fillId="0" borderId="0" xfId="0" applyFont="1" applyAlignment="1" applyProtection="1">
      <alignment horizontal="right" vertical="center"/>
    </xf>
    <xf numFmtId="0" fontId="10" fillId="0" borderId="6" xfId="0" applyFont="1" applyBorder="1" applyAlignment="1" applyProtection="1">
      <alignment horizontal="center" vertical="center"/>
    </xf>
    <xf numFmtId="0" fontId="8" fillId="3" borderId="10" xfId="0" applyFont="1" applyFill="1" applyBorder="1" applyAlignment="1" applyProtection="1">
      <alignment horizontal="right" wrapText="1"/>
    </xf>
    <xf numFmtId="0" fontId="8" fillId="3" borderId="2" xfId="0" applyFont="1" applyFill="1" applyBorder="1" applyAlignment="1" applyProtection="1">
      <alignment horizontal="right" wrapText="1"/>
    </xf>
    <xf numFmtId="0" fontId="8" fillId="3" borderId="12" xfId="0" applyFont="1" applyFill="1" applyBorder="1" applyAlignment="1" applyProtection="1">
      <alignment wrapText="1"/>
    </xf>
    <xf numFmtId="0" fontId="8" fillId="3" borderId="6" xfId="0" applyFont="1" applyFill="1" applyBorder="1" applyAlignment="1" applyProtection="1">
      <alignment wrapText="1"/>
    </xf>
    <xf numFmtId="0" fontId="4" fillId="0" borderId="7" xfId="0" applyFont="1" applyBorder="1" applyAlignment="1" applyProtection="1">
      <alignment horizontal="right"/>
    </xf>
    <xf numFmtId="0" fontId="8" fillId="3" borderId="10" xfId="0" applyFont="1" applyFill="1" applyBorder="1" applyAlignment="1" applyProtection="1">
      <alignment horizontal="right" vertical="center" wrapText="1"/>
    </xf>
    <xf numFmtId="0" fontId="8" fillId="3" borderId="5" xfId="0" applyFont="1" applyFill="1" applyBorder="1" applyAlignment="1" applyProtection="1">
      <alignment horizontal="right" vertical="center" wrapText="1"/>
    </xf>
    <xf numFmtId="0" fontId="6" fillId="3" borderId="9" xfId="0" applyFont="1" applyFill="1" applyBorder="1" applyAlignment="1" applyProtection="1">
      <alignment vertical="top" wrapText="1"/>
    </xf>
    <xf numFmtId="0" fontId="6" fillId="3" borderId="0" xfId="0" applyFont="1" applyFill="1" applyBorder="1" applyAlignment="1" applyProtection="1">
      <alignment vertical="top" wrapText="1"/>
    </xf>
    <xf numFmtId="0" fontId="6" fillId="3" borderId="12" xfId="0" applyFont="1" applyFill="1" applyBorder="1" applyAlignment="1" applyProtection="1">
      <alignment vertical="top" wrapText="1"/>
    </xf>
    <xf numFmtId="0" fontId="6" fillId="3" borderId="6" xfId="0" applyFont="1" applyFill="1" applyBorder="1" applyAlignment="1" applyProtection="1">
      <alignment vertical="top" wrapText="1"/>
    </xf>
    <xf numFmtId="0" fontId="4" fillId="0" borderId="7" xfId="0" applyFont="1" applyBorder="1" applyAlignment="1" applyProtection="1">
      <alignment horizontal="left"/>
    </xf>
    <xf numFmtId="0" fontId="0" fillId="0" borderId="0" xfId="0" applyAlignment="1" applyProtection="1">
      <alignment horizontal="right"/>
    </xf>
    <xf numFmtId="0" fontId="4" fillId="0" borderId="0" xfId="0" applyFont="1" applyAlignment="1" applyProtection="1">
      <alignment horizontal="right"/>
      <protection locked="0"/>
    </xf>
    <xf numFmtId="0" fontId="4" fillId="0" borderId="7" xfId="0" applyFont="1" applyFill="1" applyBorder="1" applyAlignment="1" applyProtection="1">
      <alignment horizontal="right"/>
      <protection locked="0"/>
    </xf>
    <xf numFmtId="0" fontId="4" fillId="0" borderId="2" xfId="0" applyFont="1" applyFill="1" applyBorder="1" applyAlignment="1" applyProtection="1">
      <alignment horizontal="right"/>
      <protection locked="0"/>
    </xf>
    <xf numFmtId="0" fontId="4" fillId="0" borderId="5" xfId="0" applyFont="1" applyFill="1" applyBorder="1" applyAlignment="1" applyProtection="1">
      <alignment horizontal="right"/>
      <protection locked="0"/>
    </xf>
    <xf numFmtId="0" fontId="4" fillId="0" borderId="7" xfId="0" applyFont="1" applyBorder="1" applyAlignment="1" applyProtection="1">
      <alignment horizontal="right"/>
      <protection locked="0"/>
    </xf>
    <xf numFmtId="0" fontId="4" fillId="0" borderId="10" xfId="0" applyFont="1" applyBorder="1" applyAlignment="1" applyProtection="1">
      <alignment horizontal="right" vertical="center"/>
      <protection locked="0"/>
    </xf>
    <xf numFmtId="0" fontId="4" fillId="0" borderId="2" xfId="0" applyFont="1" applyBorder="1" applyAlignment="1" applyProtection="1">
      <alignment horizontal="right" vertical="center"/>
      <protection locked="0"/>
    </xf>
    <xf numFmtId="0" fontId="9" fillId="0" borderId="6" xfId="0" applyFont="1" applyFill="1" applyBorder="1" applyAlignment="1" applyProtection="1">
      <alignment horizontal="center" vertical="center"/>
    </xf>
    <xf numFmtId="0" fontId="8" fillId="3" borderId="9" xfId="0" applyFont="1" applyFill="1" applyBorder="1" applyAlignment="1" applyProtection="1">
      <alignment wrapText="1"/>
    </xf>
    <xf numFmtId="0" fontId="8" fillId="3" borderId="5" xfId="0" applyFont="1" applyFill="1" applyBorder="1" applyAlignment="1" applyProtection="1">
      <alignment horizontal="right" wrapText="1"/>
    </xf>
    <xf numFmtId="0" fontId="4" fillId="0" borderId="7"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0" fontId="4" fillId="0" borderId="5" xfId="0" applyFont="1" applyFill="1" applyBorder="1" applyAlignment="1" applyProtection="1">
      <alignment horizontal="left"/>
      <protection locked="0"/>
    </xf>
    <xf numFmtId="0" fontId="4" fillId="0" borderId="12" xfId="0" applyFont="1" applyBorder="1" applyAlignment="1" applyProtection="1">
      <alignment horizontal="center"/>
      <protection locked="0"/>
    </xf>
    <xf numFmtId="0" fontId="6" fillId="3" borderId="12"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9" fillId="6" borderId="0" xfId="0" applyFont="1" applyFill="1" applyBorder="1" applyAlignment="1" applyProtection="1">
      <alignment horizontal="center"/>
    </xf>
    <xf numFmtId="0" fontId="4" fillId="0" borderId="7" xfId="0" applyFont="1" applyBorder="1" applyAlignment="1" applyProtection="1">
      <alignment horizontal="center" vertical="top"/>
      <protection locked="0"/>
    </xf>
    <xf numFmtId="49" fontId="4" fillId="0" borderId="15" xfId="0" applyNumberFormat="1" applyFont="1" applyFill="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0" fontId="0" fillId="0" borderId="0" xfId="0"/>
    <xf numFmtId="0" fontId="4" fillId="0" borderId="7" xfId="0" applyFont="1" applyBorder="1" applyProtection="1">
      <protection locked="0"/>
    </xf>
    <xf numFmtId="0" fontId="4" fillId="0" borderId="7"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8" xfId="0" applyFont="1" applyFill="1" applyBorder="1" applyProtection="1">
      <protection locked="0"/>
    </xf>
    <xf numFmtId="49" fontId="4" fillId="0" borderId="8" xfId="0" applyNumberFormat="1" applyFont="1" applyFill="1" applyBorder="1" applyAlignment="1" applyProtection="1">
      <alignment horizontal="center"/>
      <protection locked="0"/>
    </xf>
    <xf numFmtId="49" fontId="4" fillId="0" borderId="9" xfId="0" applyNumberFormat="1"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49" fontId="4" fillId="0" borderId="8" xfId="0" applyNumberFormat="1" applyFont="1" applyBorder="1" applyAlignment="1" applyProtection="1">
      <alignment horizontal="center"/>
      <protection locked="0"/>
    </xf>
    <xf numFmtId="0" fontId="8" fillId="3" borderId="12" xfId="0" applyFont="1" applyFill="1" applyBorder="1" applyAlignment="1" applyProtection="1">
      <alignment wrapText="1"/>
    </xf>
    <xf numFmtId="49" fontId="4" fillId="0" borderId="12" xfId="0" applyNumberFormat="1" applyFont="1" applyFill="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49" fontId="4" fillId="0" borderId="6" xfId="0" applyNumberFormat="1" applyFont="1" applyFill="1" applyBorder="1" applyAlignment="1" applyProtection="1">
      <alignment horizontal="center"/>
      <protection locked="0"/>
    </xf>
    <xf numFmtId="49" fontId="0" fillId="0" borderId="16" xfId="0" applyNumberFormat="1" applyFont="1" applyFill="1" applyBorder="1" applyAlignment="1" applyProtection="1">
      <alignment horizontal="center"/>
      <protection locked="0"/>
    </xf>
    <xf numFmtId="49" fontId="0" fillId="0" borderId="16" xfId="0" applyNumberFormat="1" applyFont="1" applyBorder="1" applyAlignment="1" applyProtection="1">
      <alignment horizontal="center"/>
      <protection locked="0"/>
    </xf>
    <xf numFmtId="49" fontId="0" fillId="0" borderId="3" xfId="0" applyNumberFormat="1" applyFont="1" applyFill="1" applyBorder="1" applyAlignment="1" applyProtection="1">
      <alignment horizontal="center"/>
      <protection locked="0"/>
    </xf>
    <xf numFmtId="49" fontId="0" fillId="0" borderId="3" xfId="0" applyNumberFormat="1" applyFont="1" applyBorder="1" applyAlignment="1" applyProtection="1">
      <alignment horizontal="center"/>
      <protection locked="0"/>
    </xf>
    <xf numFmtId="49" fontId="0" fillId="0" borderId="17" xfId="0" applyNumberFormat="1" applyFont="1" applyFill="1" applyBorder="1" applyAlignment="1" applyProtection="1">
      <alignment horizontal="center"/>
      <protection locked="0"/>
    </xf>
    <xf numFmtId="49" fontId="0" fillId="0" borderId="17" xfId="0" applyNumberFormat="1"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3" fillId="0" borderId="0" xfId="0" applyFont="1" applyAlignment="1"/>
    <xf numFmtId="0" fontId="12" fillId="0" borderId="0" xfId="0" applyFont="1"/>
    <xf numFmtId="0" fontId="12" fillId="0" borderId="0" xfId="0" applyFont="1" applyAlignment="1"/>
    <xf numFmtId="0" fontId="1" fillId="0" borderId="0" xfId="0" applyFont="1"/>
    <xf numFmtId="0" fontId="3" fillId="0" borderId="0" xfId="0" applyFont="1"/>
    <xf numFmtId="0" fontId="3" fillId="0" borderId="0" xfId="0" quotePrefix="1" applyFont="1"/>
    <xf numFmtId="0" fontId="13" fillId="0" borderId="0" xfId="1" applyFont="1"/>
    <xf numFmtId="0" fontId="3" fillId="0" borderId="0" xfId="0" quotePrefix="1" applyFont="1" applyAlignment="1">
      <alignment wrapText="1"/>
    </xf>
    <xf numFmtId="0" fontId="10" fillId="0" borderId="0" xfId="0" applyFont="1"/>
    <xf numFmtId="0" fontId="9" fillId="0" borderId="0" xfId="0" applyFont="1" applyAlignment="1">
      <alignment horizontal="justify" vertical="center"/>
    </xf>
    <xf numFmtId="0" fontId="10" fillId="0" borderId="0" xfId="0" applyFont="1" applyAlignment="1">
      <alignment vertical="center"/>
    </xf>
    <xf numFmtId="0" fontId="3" fillId="0" borderId="0" xfId="0" quotePrefix="1" applyFont="1" applyAlignment="1"/>
    <xf numFmtId="0" fontId="15" fillId="0" borderId="0" xfId="0" applyFont="1" applyAlignment="1">
      <alignment vertical="center"/>
    </xf>
    <xf numFmtId="0" fontId="15" fillId="0" borderId="0" xfId="0" applyFont="1" applyAlignment="1">
      <alignment horizontal="left" vertical="center"/>
    </xf>
    <xf numFmtId="0" fontId="9" fillId="0" borderId="0" xfId="0" applyFont="1"/>
    <xf numFmtId="0" fontId="9" fillId="0" borderId="0" xfId="0" applyFont="1" applyAlignment="1">
      <alignment vertical="center"/>
    </xf>
    <xf numFmtId="0" fontId="12" fillId="0" borderId="0" xfId="0" quotePrefix="1" applyFont="1"/>
    <xf numFmtId="0" fontId="9" fillId="0" borderId="0" xfId="0" quotePrefix="1" applyFont="1"/>
    <xf numFmtId="0" fontId="12" fillId="0" borderId="0" xfId="0" applyFont="1" applyAlignment="1">
      <alignment vertical="center"/>
    </xf>
    <xf numFmtId="0" fontId="9" fillId="0" borderId="0" xfId="0" quotePrefix="1" applyFont="1" applyAlignment="1"/>
    <xf numFmtId="0" fontId="12" fillId="0" borderId="0" xfId="0" applyFont="1" applyAlignment="1">
      <alignment horizontal="left" vertical="center"/>
    </xf>
    <xf numFmtId="0" fontId="9" fillId="0" borderId="0" xfId="0" applyFont="1" applyAlignment="1"/>
    <xf numFmtId="0" fontId="1" fillId="0" borderId="0" xfId="0" applyFont="1" applyAlignment="1">
      <alignment vertical="center"/>
    </xf>
    <xf numFmtId="0" fontId="3" fillId="0" borderId="0" xfId="0" applyFont="1" applyAlignment="1">
      <alignment wrapText="1"/>
    </xf>
    <xf numFmtId="0" fontId="18" fillId="0" borderId="0" xfId="0" applyFont="1"/>
    <xf numFmtId="0" fontId="3" fillId="0" borderId="0" xfId="0" applyFont="1" applyAlignment="1">
      <alignment vertical="center"/>
    </xf>
    <xf numFmtId="9" fontId="3" fillId="0" borderId="0" xfId="0" applyNumberFormat="1" applyFont="1"/>
    <xf numFmtId="10" fontId="3" fillId="0" borderId="0" xfId="0" applyNumberFormat="1" applyFont="1"/>
    <xf numFmtId="0" fontId="6" fillId="0" borderId="9"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7" fillId="0" borderId="0" xfId="0" applyFont="1" applyAlignment="1">
      <alignment vertical="center"/>
    </xf>
    <xf numFmtId="0" fontId="4" fillId="0" borderId="0" xfId="0" quotePrefix="1" applyFont="1" applyAlignment="1">
      <alignment vertical="top" wrapText="1"/>
    </xf>
    <xf numFmtId="0" fontId="0" fillId="0" borderId="0" xfId="0"/>
    <xf numFmtId="0" fontId="11" fillId="0" borderId="0" xfId="1" applyAlignment="1">
      <alignment horizontal="left" wrapText="1"/>
    </xf>
    <xf numFmtId="0" fontId="0" fillId="0" borderId="0" xfId="0" applyFont="1" applyAlignment="1">
      <alignment horizontal="left" wrapText="1"/>
    </xf>
    <xf numFmtId="0" fontId="0" fillId="0" borderId="0" xfId="0" applyAlignment="1">
      <alignment horizontal="center"/>
    </xf>
    <xf numFmtId="0" fontId="4" fillId="0" borderId="0" xfId="0" applyFont="1" applyAlignment="1">
      <alignment vertical="top" wrapText="1"/>
    </xf>
    <xf numFmtId="0" fontId="4" fillId="0" borderId="0" xfId="0" applyFont="1" applyAlignment="1">
      <alignment vertical="center" wrapText="1"/>
    </xf>
    <xf numFmtId="0" fontId="5" fillId="2" borderId="19" xfId="0" applyFont="1" applyFill="1" applyBorder="1" applyAlignment="1">
      <alignment vertical="center" wrapText="1"/>
    </xf>
    <xf numFmtId="0" fontId="5" fillId="2" borderId="13" xfId="0" applyFont="1" applyFill="1" applyBorder="1" applyAlignment="1">
      <alignment vertical="center" wrapText="1"/>
    </xf>
    <xf numFmtId="0" fontId="5" fillId="2" borderId="10" xfId="0" applyFont="1" applyFill="1" applyBorder="1" applyAlignment="1">
      <alignment vertical="center" wrapText="1"/>
    </xf>
    <xf numFmtId="0" fontId="5" fillId="2" borderId="9" xfId="0" applyFont="1" applyFill="1" applyBorder="1" applyAlignment="1">
      <alignment vertical="center" wrapText="1"/>
    </xf>
    <xf numFmtId="0" fontId="5" fillId="2" borderId="0" xfId="0" applyFont="1" applyFill="1" applyBorder="1" applyAlignment="1">
      <alignment vertical="center" wrapText="1"/>
    </xf>
    <xf numFmtId="0" fontId="5" fillId="2" borderId="2" xfId="0" applyFont="1" applyFill="1" applyBorder="1" applyAlignment="1">
      <alignment vertical="center" wrapText="1"/>
    </xf>
    <xf numFmtId="0" fontId="5" fillId="2" borderId="12"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5" fillId="2" borderId="18" xfId="0" applyFont="1" applyFill="1" applyBorder="1" applyAlignment="1">
      <alignment vertical="center" wrapText="1"/>
    </xf>
    <xf numFmtId="0" fontId="5" fillId="2" borderId="1" xfId="0" applyFont="1" applyFill="1" applyBorder="1" applyAlignment="1">
      <alignment vertical="center" wrapText="1"/>
    </xf>
    <xf numFmtId="0" fontId="6" fillId="2" borderId="18" xfId="0" applyFont="1" applyFill="1" applyBorder="1" applyAlignment="1">
      <alignment vertical="center"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1" fillId="4" borderId="0" xfId="0" applyFont="1" applyFill="1" applyAlignment="1">
      <alignment horizontal="left"/>
    </xf>
    <xf numFmtId="0" fontId="3" fillId="4" borderId="0" xfId="0" applyFont="1" applyFill="1" applyAlignment="1">
      <alignment horizontal="left"/>
    </xf>
    <xf numFmtId="0" fontId="5" fillId="2" borderId="15" xfId="0" applyFont="1" applyFill="1" applyBorder="1" applyAlignment="1">
      <alignment vertical="center" wrapText="1"/>
    </xf>
    <xf numFmtId="0" fontId="5" fillId="2" borderId="11" xfId="0" applyFont="1" applyFill="1" applyBorder="1" applyAlignment="1">
      <alignment vertical="center" wrapText="1"/>
    </xf>
    <xf numFmtId="0" fontId="2" fillId="3" borderId="8" xfId="0" applyFont="1" applyFill="1" applyBorder="1" applyAlignment="1">
      <alignment horizontal="center"/>
    </xf>
    <xf numFmtId="0" fontId="2" fillId="3" borderId="14" xfId="0" applyFont="1" applyFill="1" applyBorder="1" applyAlignment="1">
      <alignment horizontal="center"/>
    </xf>
    <xf numFmtId="0" fontId="2" fillId="3" borderId="7" xfId="0" applyFont="1" applyFill="1" applyBorder="1" applyAlignment="1">
      <alignment horizontal="center"/>
    </xf>
    <xf numFmtId="0" fontId="5" fillId="5" borderId="4" xfId="0" applyFont="1" applyFill="1" applyBorder="1"/>
    <xf numFmtId="0" fontId="8" fillId="3" borderId="6" xfId="0" applyFont="1" applyFill="1" applyBorder="1" applyAlignment="1" applyProtection="1">
      <alignment horizontal="right" wrapText="1"/>
    </xf>
    <xf numFmtId="0" fontId="8" fillId="3" borderId="5" xfId="0" applyFont="1" applyFill="1" applyBorder="1" applyAlignment="1" applyProtection="1">
      <alignment horizontal="right" wrapText="1"/>
    </xf>
    <xf numFmtId="0" fontId="4" fillId="0" borderId="8" xfId="0" applyFont="1" applyFill="1" applyBorder="1" applyProtection="1">
      <protection locked="0"/>
    </xf>
    <xf numFmtId="0" fontId="4" fillId="0" borderId="7" xfId="0" applyFont="1" applyFill="1" applyBorder="1" applyProtection="1">
      <protection locked="0"/>
    </xf>
    <xf numFmtId="0" fontId="8" fillId="3" borderId="12" xfId="0" applyFont="1" applyFill="1" applyBorder="1" applyAlignment="1" applyProtection="1">
      <alignment vertical="center" wrapText="1"/>
    </xf>
    <xf numFmtId="0" fontId="8" fillId="3" borderId="6" xfId="0" applyFont="1" applyFill="1" applyBorder="1" applyAlignment="1" applyProtection="1">
      <alignment vertical="center" wrapText="1"/>
    </xf>
    <xf numFmtId="0" fontId="8" fillId="3" borderId="0" xfId="0" applyFont="1" applyFill="1" applyBorder="1" applyAlignment="1" applyProtection="1">
      <alignment horizontal="left" wrapText="1"/>
    </xf>
    <xf numFmtId="0" fontId="8" fillId="3" borderId="2" xfId="0" applyFont="1" applyFill="1" applyBorder="1" applyAlignment="1" applyProtection="1">
      <alignment horizontal="left" wrapText="1"/>
    </xf>
    <xf numFmtId="0" fontId="4" fillId="0" borderId="9"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6" fillId="3" borderId="8" xfId="0" applyFont="1" applyFill="1" applyBorder="1" applyAlignment="1" applyProtection="1">
      <alignment wrapText="1"/>
    </xf>
    <xf numFmtId="0" fontId="6" fillId="3" borderId="14" xfId="0" applyFont="1" applyFill="1" applyBorder="1" applyAlignment="1" applyProtection="1">
      <alignment wrapText="1"/>
    </xf>
    <xf numFmtId="0" fontId="6" fillId="3" borderId="7" xfId="0" applyFont="1" applyFill="1" applyBorder="1" applyAlignment="1" applyProtection="1">
      <alignment wrapText="1"/>
    </xf>
    <xf numFmtId="0" fontId="8" fillId="3" borderId="8" xfId="0" applyFont="1" applyFill="1" applyBorder="1" applyAlignment="1" applyProtection="1">
      <alignment wrapText="1"/>
    </xf>
    <xf numFmtId="0" fontId="8" fillId="3" borderId="14" xfId="0" applyFont="1" applyFill="1" applyBorder="1" applyAlignment="1" applyProtection="1">
      <alignment wrapText="1"/>
    </xf>
    <xf numFmtId="0" fontId="8" fillId="3" borderId="7" xfId="0" applyFont="1" applyFill="1" applyBorder="1" applyAlignment="1" applyProtection="1">
      <alignment wrapText="1"/>
    </xf>
    <xf numFmtId="0" fontId="6" fillId="3" borderId="8" xfId="0" applyFont="1" applyFill="1" applyBorder="1" applyAlignment="1" applyProtection="1">
      <alignment horizontal="left" wrapText="1"/>
    </xf>
    <xf numFmtId="0" fontId="6" fillId="3" borderId="14" xfId="0" applyFont="1" applyFill="1" applyBorder="1" applyAlignment="1" applyProtection="1">
      <alignment horizontal="left" wrapText="1"/>
    </xf>
    <xf numFmtId="0" fontId="6" fillId="3" borderId="7" xfId="0" applyFont="1" applyFill="1" applyBorder="1" applyAlignment="1" applyProtection="1">
      <alignment horizontal="left" wrapText="1"/>
    </xf>
    <xf numFmtId="0" fontId="8" fillId="3" borderId="9" xfId="0" applyFont="1" applyFill="1" applyBorder="1" applyAlignment="1" applyProtection="1">
      <alignment wrapText="1"/>
    </xf>
    <xf numFmtId="0" fontId="8" fillId="3" borderId="0" xfId="0" applyFont="1" applyFill="1" applyBorder="1" applyAlignment="1" applyProtection="1">
      <alignment wrapText="1"/>
    </xf>
    <xf numFmtId="0" fontId="6" fillId="3" borderId="15" xfId="0" applyFont="1" applyFill="1" applyBorder="1" applyAlignment="1" applyProtection="1">
      <alignment wrapText="1"/>
    </xf>
    <xf numFmtId="0" fontId="6" fillId="3" borderId="0" xfId="0" applyFont="1" applyFill="1" applyBorder="1" applyAlignment="1" applyProtection="1">
      <alignment wrapText="1"/>
    </xf>
    <xf numFmtId="0" fontId="6" fillId="3" borderId="15" xfId="0" applyFont="1" applyFill="1" applyBorder="1" applyAlignment="1" applyProtection="1">
      <alignment horizontal="left" vertical="top" wrapText="1"/>
    </xf>
    <xf numFmtId="0" fontId="6" fillId="3" borderId="11" xfId="0" applyFont="1" applyFill="1" applyBorder="1" applyAlignment="1" applyProtection="1">
      <alignment horizontal="left" vertical="top" wrapText="1"/>
    </xf>
    <xf numFmtId="0" fontId="6" fillId="3" borderId="9"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8" fillId="3" borderId="11" xfId="0" applyFont="1" applyFill="1" applyBorder="1" applyAlignment="1" applyProtection="1">
      <alignment horizontal="left" wrapText="1"/>
    </xf>
    <xf numFmtId="0" fontId="8" fillId="3" borderId="10" xfId="0" applyFont="1" applyFill="1" applyBorder="1" applyAlignment="1" applyProtection="1">
      <alignment horizontal="left" wrapText="1"/>
    </xf>
    <xf numFmtId="0" fontId="6" fillId="3" borderId="11" xfId="0" applyFont="1" applyFill="1" applyBorder="1" applyAlignment="1" applyProtection="1">
      <alignment wrapText="1"/>
    </xf>
    <xf numFmtId="0" fontId="0" fillId="0" borderId="0" xfId="0" applyAlignment="1" applyProtection="1">
      <alignment horizontal="center" vertical="center"/>
    </xf>
    <xf numFmtId="0" fontId="1" fillId="4" borderId="8" xfId="0" applyFont="1" applyFill="1" applyBorder="1" applyAlignment="1" applyProtection="1">
      <alignment horizontal="left" wrapText="1"/>
    </xf>
    <xf numFmtId="0" fontId="1" fillId="4" borderId="14" xfId="0" applyFont="1" applyFill="1" applyBorder="1" applyAlignment="1" applyProtection="1">
      <alignment horizontal="left" wrapText="1"/>
    </xf>
    <xf numFmtId="0" fontId="1" fillId="4" borderId="7" xfId="0" applyFont="1" applyFill="1" applyBorder="1" applyAlignment="1" applyProtection="1">
      <alignment horizontal="left" wrapText="1"/>
    </xf>
    <xf numFmtId="0" fontId="0" fillId="0" borderId="0" xfId="0" applyAlignment="1" applyProtection="1">
      <alignment horizontal="center"/>
    </xf>
    <xf numFmtId="0" fontId="8" fillId="3" borderId="8" xfId="0" applyFont="1" applyFill="1" applyBorder="1" applyAlignment="1" applyProtection="1">
      <alignment horizontal="right" vertical="center" wrapText="1"/>
    </xf>
    <xf numFmtId="0" fontId="8" fillId="3" borderId="14" xfId="0" applyFont="1" applyFill="1" applyBorder="1" applyAlignment="1" applyProtection="1">
      <alignment horizontal="right" vertical="center" wrapText="1"/>
    </xf>
    <xf numFmtId="0" fontId="8" fillId="3" borderId="7" xfId="0" applyFont="1" applyFill="1" applyBorder="1" applyAlignment="1" applyProtection="1">
      <alignment horizontal="right" vertical="center" wrapText="1"/>
    </xf>
    <xf numFmtId="0" fontId="5" fillId="0" borderId="8" xfId="0" applyFont="1" applyBorder="1" applyProtection="1"/>
    <xf numFmtId="0" fontId="5" fillId="0" borderId="7" xfId="0" applyFont="1" applyBorder="1" applyProtection="1"/>
    <xf numFmtId="0" fontId="5" fillId="0" borderId="8" xfId="0" applyFont="1" applyFill="1" applyBorder="1" applyProtection="1"/>
    <xf numFmtId="0" fontId="5" fillId="0" borderId="7" xfId="0" applyFont="1" applyFill="1" applyBorder="1" applyProtection="1"/>
    <xf numFmtId="0" fontId="7" fillId="0" borderId="6" xfId="0" applyFont="1" applyBorder="1" applyAlignment="1" applyProtection="1">
      <alignment horizontal="center" vertical="center"/>
    </xf>
    <xf numFmtId="0" fontId="4" fillId="0" borderId="8" xfId="0" applyFont="1" applyFill="1" applyBorder="1" applyAlignment="1" applyProtection="1">
      <alignment horizontal="center"/>
    </xf>
    <xf numFmtId="0" fontId="4" fillId="0" borderId="14"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14" xfId="0" applyFont="1" applyBorder="1" applyAlignment="1" applyProtection="1">
      <alignment horizontal="center"/>
      <protection locked="0"/>
    </xf>
    <xf numFmtId="0" fontId="6" fillId="3" borderId="4" xfId="0" applyFont="1" applyFill="1" applyBorder="1" applyAlignment="1" applyProtection="1">
      <alignment wrapText="1"/>
    </xf>
    <xf numFmtId="49" fontId="4" fillId="0" borderId="12" xfId="0" applyNumberFormat="1" applyFont="1" applyBorder="1" applyAlignment="1" applyProtection="1">
      <alignment horizontal="center"/>
      <protection locked="0"/>
    </xf>
    <xf numFmtId="49" fontId="4" fillId="0" borderId="6" xfId="0" applyNumberFormat="1" applyFont="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0" fillId="0" borderId="0" xfId="0" applyAlignment="1" applyProtection="1">
      <alignment horizontal="left" wrapText="1"/>
    </xf>
    <xf numFmtId="0" fontId="8" fillId="3" borderId="12" xfId="0" applyFont="1" applyFill="1" applyBorder="1" applyAlignment="1" applyProtection="1">
      <alignment wrapText="1"/>
    </xf>
    <xf numFmtId="49" fontId="4" fillId="0" borderId="9"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protection locked="0"/>
    </xf>
    <xf numFmtId="49" fontId="4" fillId="0" borderId="15" xfId="0" applyNumberFormat="1" applyFont="1" applyFill="1" applyBorder="1" applyAlignment="1" applyProtection="1">
      <alignment horizontal="center"/>
      <protection locked="0"/>
    </xf>
    <xf numFmtId="49" fontId="4" fillId="0" borderId="11" xfId="0" applyNumberFormat="1" applyFont="1" applyFill="1" applyBorder="1" applyAlignment="1" applyProtection="1">
      <alignment horizontal="center"/>
      <protection locked="0"/>
    </xf>
    <xf numFmtId="49" fontId="4" fillId="0" borderId="8" xfId="0" applyNumberFormat="1" applyFont="1" applyBorder="1" applyAlignment="1" applyProtection="1">
      <alignment horizontal="center"/>
      <protection locked="0"/>
    </xf>
    <xf numFmtId="49" fontId="4" fillId="0" borderId="14" xfId="0" applyNumberFormat="1" applyFont="1" applyBorder="1" applyAlignment="1" applyProtection="1">
      <alignment horizontal="center"/>
      <protection locked="0"/>
    </xf>
    <xf numFmtId="49" fontId="4" fillId="0" borderId="15" xfId="0" applyNumberFormat="1" applyFont="1" applyBorder="1" applyAlignment="1" applyProtection="1">
      <alignment horizontal="center"/>
      <protection locked="0"/>
    </xf>
    <xf numFmtId="49" fontId="4" fillId="0" borderId="11" xfId="0" applyNumberFormat="1" applyFont="1" applyBorder="1" applyAlignment="1" applyProtection="1">
      <alignment horizontal="center"/>
      <protection locked="0"/>
    </xf>
    <xf numFmtId="49" fontId="4" fillId="0" borderId="12" xfId="0" applyNumberFormat="1" applyFont="1" applyFill="1" applyBorder="1" applyAlignment="1" applyProtection="1">
      <alignment horizontal="center"/>
      <protection locked="0"/>
    </xf>
    <xf numFmtId="49" fontId="4" fillId="0" borderId="6" xfId="0" applyNumberFormat="1" applyFont="1" applyFill="1" applyBorder="1" applyAlignment="1" applyProtection="1">
      <alignment horizontal="center"/>
      <protection locked="0"/>
    </xf>
    <xf numFmtId="0" fontId="8" fillId="3" borderId="4" xfId="0" applyFont="1" applyFill="1" applyBorder="1" applyAlignment="1" applyProtection="1">
      <alignment wrapText="1"/>
    </xf>
    <xf numFmtId="0" fontId="1" fillId="4" borderId="4" xfId="0" applyFont="1" applyFill="1" applyBorder="1" applyAlignment="1" applyProtection="1">
      <alignment horizontal="left" wrapText="1"/>
    </xf>
    <xf numFmtId="0" fontId="6" fillId="3" borderId="4" xfId="0" applyFont="1" applyFill="1" applyBorder="1" applyAlignment="1" applyProtection="1">
      <alignment horizontal="left" wrapText="1"/>
    </xf>
    <xf numFmtId="0" fontId="6" fillId="3" borderId="8" xfId="0" applyFont="1" applyFill="1" applyBorder="1" applyAlignment="1" applyProtection="1">
      <alignment horizontal="left" vertical="top" wrapText="1"/>
    </xf>
    <xf numFmtId="0" fontId="6" fillId="3" borderId="14" xfId="0" applyFont="1" applyFill="1" applyBorder="1" applyAlignment="1" applyProtection="1">
      <alignment horizontal="left" vertical="top" wrapText="1"/>
    </xf>
    <xf numFmtId="0" fontId="6" fillId="3" borderId="7" xfId="0" applyFont="1" applyFill="1" applyBorder="1" applyAlignment="1" applyProtection="1">
      <alignment horizontal="left" vertical="top" wrapText="1"/>
    </xf>
    <xf numFmtId="0" fontId="8" fillId="3" borderId="11" xfId="0" applyFont="1" applyFill="1" applyBorder="1" applyAlignment="1" applyProtection="1">
      <alignment horizontal="right" vertical="top" wrapText="1"/>
    </xf>
    <xf numFmtId="0" fontId="8" fillId="3" borderId="10" xfId="0" applyFont="1" applyFill="1" applyBorder="1" applyAlignment="1" applyProtection="1">
      <alignment horizontal="right" vertical="top" wrapText="1"/>
    </xf>
    <xf numFmtId="0" fontId="8" fillId="3" borderId="6" xfId="0" applyFont="1" applyFill="1" applyBorder="1" applyAlignment="1" applyProtection="1">
      <alignment horizontal="right" vertical="top" wrapText="1"/>
    </xf>
    <xf numFmtId="0" fontId="8" fillId="3" borderId="5" xfId="0" applyFont="1" applyFill="1" applyBorder="1" applyAlignment="1" applyProtection="1">
      <alignment horizontal="right" vertical="top" wrapText="1"/>
    </xf>
    <xf numFmtId="0" fontId="4" fillId="0" borderId="6"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8"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11" xfId="0" applyFont="1" applyBorder="1" applyAlignment="1" applyProtection="1">
      <alignment horizontal="center"/>
      <protection locked="0"/>
    </xf>
    <xf numFmtId="49" fontId="4" fillId="0" borderId="8" xfId="0" applyNumberFormat="1" applyFont="1" applyFill="1" applyBorder="1" applyAlignment="1" applyProtection="1">
      <alignment horizontal="center"/>
      <protection locked="0"/>
    </xf>
    <xf numFmtId="49" fontId="4" fillId="0" borderId="14" xfId="0" applyNumberFormat="1" applyFont="1" applyFill="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49" fontId="0" fillId="0" borderId="5" xfId="0" applyNumberFormat="1" applyFont="1" applyBorder="1" applyAlignment="1" applyProtection="1">
      <alignment horizontal="center"/>
      <protection locked="0"/>
    </xf>
    <xf numFmtId="49" fontId="0" fillId="0" borderId="15" xfId="0" applyNumberFormat="1" applyFont="1" applyBorder="1" applyAlignment="1" applyProtection="1">
      <alignment horizontal="center"/>
      <protection locked="0"/>
    </xf>
    <xf numFmtId="49" fontId="0" fillId="0" borderId="10" xfId="0" applyNumberFormat="1" applyFont="1" applyBorder="1" applyAlignment="1" applyProtection="1">
      <alignment horizontal="center"/>
      <protection locked="0"/>
    </xf>
    <xf numFmtId="49" fontId="0" fillId="0" borderId="9" xfId="0" applyNumberFormat="1" applyFont="1" applyBorder="1" applyAlignment="1" applyProtection="1">
      <alignment horizontal="center"/>
      <protection locked="0"/>
    </xf>
    <xf numFmtId="49" fontId="0" fillId="0" borderId="2" xfId="0" applyNumberFormat="1" applyFont="1" applyBorder="1" applyAlignment="1" applyProtection="1">
      <alignment horizontal="center"/>
      <protection locked="0"/>
    </xf>
    <xf numFmtId="0" fontId="2" fillId="0" borderId="8" xfId="0" applyFont="1" applyFill="1" applyBorder="1" applyProtection="1"/>
    <xf numFmtId="0" fontId="2" fillId="0" borderId="7" xfId="0" applyFont="1" applyFill="1" applyBorder="1" applyProtection="1"/>
    <xf numFmtId="0" fontId="6" fillId="3" borderId="15" xfId="0"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3" borderId="0" xfId="0" applyFont="1" applyFill="1" applyBorder="1" applyAlignment="1" applyProtection="1">
      <alignment horizontal="right" vertical="top" wrapText="1"/>
    </xf>
    <xf numFmtId="0" fontId="8" fillId="3" borderId="2" xfId="0" applyFont="1" applyFill="1" applyBorder="1" applyAlignment="1" applyProtection="1">
      <alignment horizontal="right" vertical="top" wrapText="1"/>
    </xf>
    <xf numFmtId="0" fontId="6" fillId="0" borderId="15"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4" fillId="0" borderId="0" xfId="0" applyFont="1" applyAlignment="1" applyProtection="1">
      <alignment horizontal="left" vertical="center"/>
    </xf>
    <xf numFmtId="0" fontId="6" fillId="3" borderId="9"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0" fillId="0" borderId="9"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6" fillId="3" borderId="8"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3" borderId="14" xfId="0" applyFont="1" applyFill="1" applyBorder="1" applyAlignment="1" applyProtection="1">
      <alignment horizontal="left" vertical="center" wrapText="1"/>
    </xf>
    <xf numFmtId="0" fontId="2" fillId="0" borderId="15" xfId="0" applyFont="1" applyBorder="1" applyProtection="1"/>
    <xf numFmtId="0" fontId="2" fillId="0" borderId="11" xfId="0" applyFont="1" applyBorder="1" applyProtection="1"/>
    <xf numFmtId="0" fontId="2" fillId="0" borderId="10" xfId="0" applyFont="1" applyBorder="1" applyProtection="1"/>
    <xf numFmtId="49" fontId="8" fillId="0" borderId="8" xfId="0" applyNumberFormat="1" applyFont="1" applyFill="1" applyBorder="1" applyAlignment="1" applyProtection="1">
      <alignment horizontal="center" vertical="center" wrapText="1"/>
      <protection locked="0"/>
    </xf>
    <xf numFmtId="49" fontId="8" fillId="0" borderId="7" xfId="0" applyNumberFormat="1" applyFont="1" applyFill="1" applyBorder="1" applyAlignment="1" applyProtection="1">
      <alignment horizontal="center" vertical="center" wrapText="1"/>
      <protection locked="0"/>
    </xf>
    <xf numFmtId="49" fontId="0" fillId="0" borderId="8" xfId="0" applyNumberFormat="1" applyFont="1" applyBorder="1" applyAlignment="1" applyProtection="1">
      <alignment horizontal="center"/>
      <protection locked="0"/>
    </xf>
    <xf numFmtId="49" fontId="0" fillId="0" borderId="7" xfId="0" applyNumberFormat="1" applyFont="1" applyBorder="1" applyAlignment="1" applyProtection="1">
      <alignment horizontal="center"/>
      <protection locked="0"/>
    </xf>
    <xf numFmtId="49" fontId="0" fillId="0"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5"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6" fillId="3" borderId="10"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1" fillId="4" borderId="0" xfId="0" applyFont="1" applyFill="1" applyBorder="1" applyAlignment="1" applyProtection="1">
      <alignment horizontal="left" wrapText="1"/>
    </xf>
    <xf numFmtId="0" fontId="1" fillId="4" borderId="2" xfId="0" applyFont="1" applyFill="1" applyBorder="1" applyAlignment="1" applyProtection="1">
      <alignment horizontal="left" wrapText="1"/>
    </xf>
    <xf numFmtId="0" fontId="0" fillId="0" borderId="12" xfId="0" applyBorder="1" applyProtection="1">
      <protection locked="0"/>
    </xf>
    <xf numFmtId="0" fontId="0" fillId="0" borderId="6" xfId="0" applyBorder="1" applyProtection="1">
      <protection locked="0"/>
    </xf>
    <xf numFmtId="0" fontId="0" fillId="0" borderId="5" xfId="0" applyBorder="1" applyProtection="1">
      <protection locked="0"/>
    </xf>
    <xf numFmtId="0" fontId="12" fillId="6" borderId="0" xfId="0" applyFont="1" applyFill="1" applyBorder="1" applyAlignment="1" applyProtection="1">
      <alignment horizontal="left" vertical="center" wrapText="1"/>
    </xf>
    <xf numFmtId="0" fontId="9" fillId="6" borderId="0" xfId="0" applyFont="1" applyFill="1" applyBorder="1" applyAlignment="1" applyProtection="1">
      <alignment horizontal="center"/>
    </xf>
    <xf numFmtId="0" fontId="1" fillId="6" borderId="0" xfId="0" applyFont="1" applyFill="1" applyBorder="1" applyAlignment="1" applyProtection="1">
      <alignment horizontal="left" wrapText="1"/>
    </xf>
    <xf numFmtId="0" fontId="6" fillId="3" borderId="8" xfId="0" applyFont="1" applyFill="1" applyBorder="1" applyAlignment="1" applyProtection="1">
      <alignment vertical="center" wrapText="1"/>
    </xf>
    <xf numFmtId="0" fontId="6" fillId="3" borderId="14" xfId="0" applyFont="1" applyFill="1" applyBorder="1" applyAlignment="1" applyProtection="1">
      <alignment vertical="center" wrapText="1"/>
    </xf>
    <xf numFmtId="0" fontId="6" fillId="3" borderId="7" xfId="0" applyFont="1" applyFill="1" applyBorder="1" applyAlignment="1" applyProtection="1">
      <alignment vertical="center" wrapText="1"/>
    </xf>
    <xf numFmtId="0" fontId="4" fillId="0" borderId="8" xfId="0" applyFont="1" applyFill="1" applyBorder="1" applyAlignment="1" applyProtection="1">
      <alignment horizontal="center" vertical="top"/>
      <protection locked="0"/>
    </xf>
    <xf numFmtId="0" fontId="4" fillId="0" borderId="14" xfId="0" applyFont="1" applyFill="1" applyBorder="1" applyAlignment="1" applyProtection="1">
      <alignment horizontal="center" vertical="top"/>
      <protection locked="0"/>
    </xf>
    <xf numFmtId="0" fontId="9" fillId="6" borderId="0" xfId="0" applyFont="1" applyFill="1" applyBorder="1" applyAlignment="1" applyProtection="1">
      <alignment horizontal="left" vertical="center" wrapText="1"/>
    </xf>
    <xf numFmtId="0" fontId="12" fillId="6" borderId="0" xfId="0" applyFont="1" applyFill="1" applyBorder="1" applyAlignment="1" applyProtection="1">
      <alignment wrapText="1"/>
    </xf>
  </cellXfs>
  <cellStyles count="2">
    <cellStyle name="Hyperlink" xfId="1" builtinId="8"/>
    <cellStyle name="Normal" xfId="0" builtinId="0"/>
  </cellStyles>
  <dxfs count="1">
    <dxf>
      <font>
        <color rgb="FFFF0000"/>
      </font>
    </dxf>
  </dxfs>
  <tableStyles count="0" defaultTableStyle="TableStyleMedium2" defaultPivotStyle="PivotStyleLight16"/>
  <colors>
    <mruColors>
      <color rgb="FFCCFFFF"/>
      <color rgb="FF800080"/>
      <color rgb="FFFFFFFF"/>
      <color rgb="FFCC00CC"/>
      <color rgb="FF611387"/>
      <color rgb="FF721787"/>
      <color rgb="FF891DAB"/>
      <color rgb="FF4E1989"/>
      <color rgb="FFA2F2F4"/>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image" Target="../media/image6.jpeg"/><Relationship Id="rId4" Type="http://schemas.openxmlformats.org/officeDocument/2006/relationships/image" Target="../media/image9.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137160</xdr:rowOff>
    </xdr:from>
    <xdr:to>
      <xdr:col>2</xdr:col>
      <xdr:colOff>586740</xdr:colOff>
      <xdr:row>0</xdr:row>
      <xdr:rowOff>358140</xdr:rowOff>
    </xdr:to>
    <xdr:pic>
      <xdr:nvPicPr>
        <xdr:cNvPr id="2" name="Picture 1" descr="Siemenslogg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137160"/>
          <a:ext cx="141732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746314</xdr:colOff>
          <xdr:row>3</xdr:row>
          <xdr:rowOff>36420</xdr:rowOff>
        </xdr:from>
        <xdr:ext cx="4654361" cy="1779652"/>
        <xdr:pic>
          <xdr:nvPicPr>
            <xdr:cNvPr id="2" name="Picture 1">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Picture" spid="_x0000_s14900"/>
                </a:ext>
              </a:extLst>
            </xdr:cNvPicPr>
          </xdr:nvPicPr>
          <xdr:blipFill>
            <a:blip xmlns:r="http://schemas.openxmlformats.org/officeDocument/2006/relationships" r:embed="rId1"/>
            <a:srcRect/>
            <a:stretch>
              <a:fillRect/>
            </a:stretch>
          </xdr:blipFill>
          <xdr:spPr bwMode="auto">
            <a:xfrm>
              <a:off x="765364" y="769845"/>
              <a:ext cx="4654361" cy="1779652"/>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1</xdr:col>
      <xdr:colOff>401619</xdr:colOff>
      <xdr:row>0</xdr:row>
      <xdr:rowOff>134918</xdr:rowOff>
    </xdr:from>
    <xdr:to>
      <xdr:col>3</xdr:col>
      <xdr:colOff>195039</xdr:colOff>
      <xdr:row>0</xdr:row>
      <xdr:rowOff>356265</xdr:rowOff>
    </xdr:to>
    <xdr:pic>
      <xdr:nvPicPr>
        <xdr:cNvPr id="3" name="Picture 2" descr="Siemenslogg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6459" y="134918"/>
          <a:ext cx="1043100" cy="30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406400</xdr:colOff>
      <xdr:row>0</xdr:row>
      <xdr:rowOff>137160</xdr:rowOff>
    </xdr:from>
    <xdr:to>
      <xdr:col>3</xdr:col>
      <xdr:colOff>199820</xdr:colOff>
      <xdr:row>0</xdr:row>
      <xdr:rowOff>360360</xdr:rowOff>
    </xdr:to>
    <xdr:pic>
      <xdr:nvPicPr>
        <xdr:cNvPr id="2" name="Picture 1" descr="Siemenslogga">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240" y="137160"/>
          <a:ext cx="1043100" cy="3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oneCellAnchor>
        <xdr:from>
          <xdr:col>1</xdr:col>
          <xdr:colOff>523875</xdr:colOff>
          <xdr:row>3</xdr:row>
          <xdr:rowOff>78105</xdr:rowOff>
        </xdr:from>
        <xdr:ext cx="5210175" cy="2172664"/>
        <xdr:pic>
          <xdr:nvPicPr>
            <xdr:cNvPr id="3" name="Picture 2">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Picture_SISL" spid="_x0000_s15889"/>
                </a:ext>
              </a:extLst>
            </xdr:cNvPicPr>
          </xdr:nvPicPr>
          <xdr:blipFill>
            <a:blip xmlns:r="http://schemas.openxmlformats.org/officeDocument/2006/relationships" r:embed="rId2"/>
            <a:srcRect/>
            <a:stretch>
              <a:fillRect/>
            </a:stretch>
          </xdr:blipFill>
          <xdr:spPr bwMode="auto">
            <a:xfrm>
              <a:off x="542925" y="963930"/>
              <a:ext cx="5210175" cy="2172664"/>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419100</xdr:colOff>
      <xdr:row>0</xdr:row>
      <xdr:rowOff>137160</xdr:rowOff>
    </xdr:from>
    <xdr:to>
      <xdr:col>3</xdr:col>
      <xdr:colOff>151560</xdr:colOff>
      <xdr:row>0</xdr:row>
      <xdr:rowOff>360360</xdr:rowOff>
    </xdr:to>
    <xdr:pic>
      <xdr:nvPicPr>
        <xdr:cNvPr id="2" name="Picture 1" descr="Siemenslogga">
          <a:extLst>
            <a:ext uri="{FF2B5EF4-FFF2-40B4-BE49-F238E27FC236}">
              <a16:creationId xmlns:a16="http://schemas.microsoft.com/office/drawing/2014/main" id="{00000000-0008-0000-0300-000002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137160"/>
          <a:ext cx="1606980" cy="3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406400</xdr:colOff>
      <xdr:row>0</xdr:row>
      <xdr:rowOff>137160</xdr:rowOff>
    </xdr:from>
    <xdr:to>
      <xdr:col>3</xdr:col>
      <xdr:colOff>199820</xdr:colOff>
      <xdr:row>0</xdr:row>
      <xdr:rowOff>360360</xdr:rowOff>
    </xdr:to>
    <xdr:pic>
      <xdr:nvPicPr>
        <xdr:cNvPr id="2" name="Picture 1" descr="Siemenslogga">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9260" y="137160"/>
          <a:ext cx="1416480" cy="22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717369</xdr:colOff>
      <xdr:row>39</xdr:row>
      <xdr:rowOff>91440</xdr:rowOff>
    </xdr:from>
    <xdr:to>
      <xdr:col>1</xdr:col>
      <xdr:colOff>5236029</xdr:colOff>
      <xdr:row>39</xdr:row>
      <xdr:rowOff>2400300</xdr:rowOff>
    </xdr:to>
    <xdr:pic>
      <xdr:nvPicPr>
        <xdr:cNvPr id="2" name="Picture 1" descr="LDS6 - setup -d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0289" y="662940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566057</xdr:colOff>
      <xdr:row>40</xdr:row>
      <xdr:rowOff>76200</xdr:rowOff>
    </xdr:from>
    <xdr:to>
      <xdr:col>1</xdr:col>
      <xdr:colOff>5648739</xdr:colOff>
      <xdr:row>41</xdr:row>
      <xdr:rowOff>4240</xdr:rowOff>
    </xdr:to>
    <xdr:pic>
      <xdr:nvPicPr>
        <xdr:cNvPr id="3" name="Picture 2" descr="LDS6 - setup -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4122" y="10007048"/>
          <a:ext cx="5082682" cy="2595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1981242</xdr:colOff>
      <xdr:row>41</xdr:row>
      <xdr:rowOff>22202</xdr:rowOff>
    </xdr:from>
    <xdr:ext cx="2512338" cy="2501106"/>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19242" y="6895442"/>
          <a:ext cx="2512338" cy="2501106"/>
        </a:xfrm>
        <a:prstGeom prst="rect">
          <a:avLst/>
        </a:prstGeom>
      </xdr:spPr>
    </xdr:pic>
    <xdr:clientData/>
  </xdr:oneCellAnchor>
  <xdr:oneCellAnchor>
    <xdr:from>
      <xdr:col>1</xdr:col>
      <xdr:colOff>1404252</xdr:colOff>
      <xdr:row>42</xdr:row>
      <xdr:rowOff>44470</xdr:rowOff>
    </xdr:from>
    <xdr:ext cx="3156857" cy="2463629"/>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98164" y="15116382"/>
          <a:ext cx="3156857" cy="2463629"/>
        </a:xfrm>
        <a:prstGeom prst="rect">
          <a:avLst/>
        </a:prstGeom>
      </xdr:spPr>
    </xdr:pic>
    <xdr:clientData/>
  </xdr:oneCellAnchor>
  <xdr:twoCellAnchor>
    <xdr:from>
      <xdr:col>9</xdr:col>
      <xdr:colOff>233518</xdr:colOff>
      <xdr:row>194</xdr:row>
      <xdr:rowOff>294967</xdr:rowOff>
    </xdr:from>
    <xdr:to>
      <xdr:col>9</xdr:col>
      <xdr:colOff>2605550</xdr:colOff>
      <xdr:row>194</xdr:row>
      <xdr:rowOff>1463285</xdr:rowOff>
    </xdr:to>
    <xdr:grpSp>
      <xdr:nvGrpSpPr>
        <xdr:cNvPr id="30" name="Group 29">
          <a:extLst>
            <a:ext uri="{FF2B5EF4-FFF2-40B4-BE49-F238E27FC236}">
              <a16:creationId xmlns:a16="http://schemas.microsoft.com/office/drawing/2014/main" id="{00000000-0008-0000-0500-00001E000000}"/>
            </a:ext>
          </a:extLst>
        </xdr:cNvPr>
        <xdr:cNvGrpSpPr/>
      </xdr:nvGrpSpPr>
      <xdr:grpSpPr>
        <a:xfrm>
          <a:off x="13746318" y="44357617"/>
          <a:ext cx="2372032" cy="1168318"/>
          <a:chOff x="12253452" y="44280190"/>
          <a:chExt cx="2372032" cy="1168318"/>
        </a:xfrm>
      </xdr:grpSpPr>
      <xdr:grpSp>
        <xdr:nvGrpSpPr>
          <xdr:cNvPr id="31" name="Group 30">
            <a:extLst>
              <a:ext uri="{FF2B5EF4-FFF2-40B4-BE49-F238E27FC236}">
                <a16:creationId xmlns:a16="http://schemas.microsoft.com/office/drawing/2014/main" id="{00000000-0008-0000-0500-00001F000000}"/>
              </a:ext>
            </a:extLst>
          </xdr:cNvPr>
          <xdr:cNvGrpSpPr/>
        </xdr:nvGrpSpPr>
        <xdr:grpSpPr>
          <a:xfrm>
            <a:off x="12376356" y="44587448"/>
            <a:ext cx="2232660" cy="861060"/>
            <a:chOff x="11983065" y="43739415"/>
            <a:chExt cx="2232660" cy="861060"/>
          </a:xfrm>
        </xdr:grpSpPr>
        <xdr:cxnSp macro="">
          <xdr:nvCxnSpPr>
            <xdr:cNvPr id="33" name="Connecteur droit 3">
              <a:extLst>
                <a:ext uri="{FF2B5EF4-FFF2-40B4-BE49-F238E27FC236}">
                  <a16:creationId xmlns:a16="http://schemas.microsoft.com/office/drawing/2014/main" id="{00000000-0008-0000-0500-000021000000}"/>
                </a:ext>
              </a:extLst>
            </xdr:cNvPr>
            <xdr:cNvCxnSpPr>
              <a:cxnSpLocks/>
            </xdr:cNvCxnSpPr>
          </xdr:nvCxnSpPr>
          <xdr:spPr>
            <a:xfrm>
              <a:off x="13026370" y="43739415"/>
              <a:ext cx="0" cy="601980"/>
            </a:xfrm>
            <a:prstGeom prst="line">
              <a:avLst/>
            </a:prstGeom>
            <a:noFill/>
            <a:ln w="19050" cap="flat" cmpd="sng" algn="ctr">
              <a:solidFill>
                <a:srgbClr val="FF0000"/>
              </a:solidFill>
              <a:prstDash val="solid"/>
            </a:ln>
            <a:effectLst/>
          </xdr:spPr>
        </xdr:cxnSp>
        <xdr:sp macro="" textlink="">
          <xdr:nvSpPr>
            <xdr:cNvPr id="34" name="Zone de texte 307">
              <a:extLst>
                <a:ext uri="{FF2B5EF4-FFF2-40B4-BE49-F238E27FC236}">
                  <a16:creationId xmlns:a16="http://schemas.microsoft.com/office/drawing/2014/main" id="{00000000-0008-0000-0500-000022000000}"/>
                </a:ext>
              </a:extLst>
            </xdr:cNvPr>
            <xdr:cNvSpPr txBox="1">
              <a:spLocks noChangeArrowheads="1"/>
            </xdr:cNvSpPr>
          </xdr:nvSpPr>
          <xdr:spPr bwMode="auto">
            <a:xfrm>
              <a:off x="1198306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Analytic side</a:t>
              </a:r>
            </a:p>
          </xdr:txBody>
        </xdr:sp>
        <xdr:sp macro="" textlink="">
          <xdr:nvSpPr>
            <xdr:cNvPr id="35" name="Zone de texte 4">
              <a:extLst>
                <a:ext uri="{FF2B5EF4-FFF2-40B4-BE49-F238E27FC236}">
                  <a16:creationId xmlns:a16="http://schemas.microsoft.com/office/drawing/2014/main" id="{00000000-0008-0000-0500-000023000000}"/>
                </a:ext>
              </a:extLst>
            </xdr:cNvPr>
            <xdr:cNvSpPr txBox="1">
              <a:spLocks noChangeArrowheads="1"/>
            </xdr:cNvSpPr>
          </xdr:nvSpPr>
          <xdr:spPr bwMode="auto">
            <a:xfrm>
              <a:off x="1308034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Process side</a:t>
              </a:r>
            </a:p>
          </xdr:txBody>
        </xdr:sp>
        <xdr:sp macro="" textlink="">
          <xdr:nvSpPr>
            <xdr:cNvPr id="36" name="Zone de texte 5">
              <a:extLst>
                <a:ext uri="{FF2B5EF4-FFF2-40B4-BE49-F238E27FC236}">
                  <a16:creationId xmlns:a16="http://schemas.microsoft.com/office/drawing/2014/main" id="{00000000-0008-0000-0500-000024000000}"/>
                </a:ext>
              </a:extLst>
            </xdr:cNvPr>
            <xdr:cNvSpPr txBox="1">
              <a:spLocks noChangeArrowheads="1"/>
            </xdr:cNvSpPr>
          </xdr:nvSpPr>
          <xdr:spPr bwMode="auto">
            <a:xfrm>
              <a:off x="12698710" y="44265195"/>
              <a:ext cx="67056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Flange</a:t>
              </a:r>
            </a:p>
          </xdr:txBody>
        </xdr:sp>
        <xdr:cxnSp macro="">
          <xdr:nvCxnSpPr>
            <xdr:cNvPr id="37" name="Connecteur droit avec flèche 6">
              <a:extLst>
                <a:ext uri="{FF2B5EF4-FFF2-40B4-BE49-F238E27FC236}">
                  <a16:creationId xmlns:a16="http://schemas.microsoft.com/office/drawing/2014/main" id="{00000000-0008-0000-0500-000025000000}"/>
                </a:ext>
              </a:extLst>
            </xdr:cNvPr>
            <xdr:cNvCxnSpPr>
              <a:cxnSpLocks/>
            </xdr:cNvCxnSpPr>
          </xdr:nvCxnSpPr>
          <xdr:spPr>
            <a:xfrm>
              <a:off x="12554565" y="43872130"/>
              <a:ext cx="975360" cy="0"/>
            </a:xfrm>
            <a:prstGeom prst="straightConnector1">
              <a:avLst/>
            </a:prstGeom>
            <a:noFill/>
            <a:ln w="19050" cap="flat" cmpd="sng" algn="ctr">
              <a:solidFill>
                <a:srgbClr val="0070C0"/>
              </a:solidFill>
              <a:prstDash val="solid"/>
              <a:headEnd type="oval"/>
              <a:tailEnd type="arrow"/>
            </a:ln>
            <a:effectLst/>
          </xdr:spPr>
        </xdr:cxnSp>
      </xdr:grpSp>
      <xdr:sp macro="" textlink="">
        <xdr:nvSpPr>
          <xdr:cNvPr id="32" name="Zone de texte 4">
            <a:extLst>
              <a:ext uri="{FF2B5EF4-FFF2-40B4-BE49-F238E27FC236}">
                <a16:creationId xmlns:a16="http://schemas.microsoft.com/office/drawing/2014/main" id="{00000000-0008-0000-0500-000020000000}"/>
              </a:ext>
            </a:extLst>
          </xdr:cNvPr>
          <xdr:cNvSpPr txBox="1">
            <a:spLocks noChangeArrowheads="1"/>
          </xdr:cNvSpPr>
        </xdr:nvSpPr>
        <xdr:spPr bwMode="auto">
          <a:xfrm>
            <a:off x="12253452" y="44280190"/>
            <a:ext cx="2372032"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Analytics side towards process side</a:t>
            </a:r>
          </a:p>
        </xdr:txBody>
      </xdr:sp>
    </xdr:grpSp>
    <xdr:clientData/>
  </xdr:twoCellAnchor>
  <xdr:twoCellAnchor>
    <xdr:from>
      <xdr:col>9</xdr:col>
      <xdr:colOff>135193</xdr:colOff>
      <xdr:row>195</xdr:row>
      <xdr:rowOff>173906</xdr:rowOff>
    </xdr:from>
    <xdr:to>
      <xdr:col>9</xdr:col>
      <xdr:colOff>2507225</xdr:colOff>
      <xdr:row>195</xdr:row>
      <xdr:rowOff>1342224</xdr:rowOff>
    </xdr:to>
    <xdr:grpSp>
      <xdr:nvGrpSpPr>
        <xdr:cNvPr id="38" name="Group 37">
          <a:extLst>
            <a:ext uri="{FF2B5EF4-FFF2-40B4-BE49-F238E27FC236}">
              <a16:creationId xmlns:a16="http://schemas.microsoft.com/office/drawing/2014/main" id="{00000000-0008-0000-0500-000026000000}"/>
            </a:ext>
          </a:extLst>
        </xdr:cNvPr>
        <xdr:cNvGrpSpPr/>
      </xdr:nvGrpSpPr>
      <xdr:grpSpPr>
        <a:xfrm>
          <a:off x="13647993" y="46046306"/>
          <a:ext cx="2372032" cy="1168318"/>
          <a:chOff x="12253452" y="44280190"/>
          <a:chExt cx="2372032" cy="1168318"/>
        </a:xfrm>
      </xdr:grpSpPr>
      <xdr:grpSp>
        <xdr:nvGrpSpPr>
          <xdr:cNvPr id="39" name="Group 38">
            <a:extLst>
              <a:ext uri="{FF2B5EF4-FFF2-40B4-BE49-F238E27FC236}">
                <a16:creationId xmlns:a16="http://schemas.microsoft.com/office/drawing/2014/main" id="{00000000-0008-0000-0500-000027000000}"/>
              </a:ext>
            </a:extLst>
          </xdr:cNvPr>
          <xdr:cNvGrpSpPr/>
        </xdr:nvGrpSpPr>
        <xdr:grpSpPr>
          <a:xfrm>
            <a:off x="12376356" y="44587448"/>
            <a:ext cx="2232660" cy="861060"/>
            <a:chOff x="11983065" y="43739415"/>
            <a:chExt cx="2232660" cy="861060"/>
          </a:xfrm>
        </xdr:grpSpPr>
        <xdr:cxnSp macro="">
          <xdr:nvCxnSpPr>
            <xdr:cNvPr id="41" name="Connecteur droit 3">
              <a:extLst>
                <a:ext uri="{FF2B5EF4-FFF2-40B4-BE49-F238E27FC236}">
                  <a16:creationId xmlns:a16="http://schemas.microsoft.com/office/drawing/2014/main" id="{00000000-0008-0000-0500-000029000000}"/>
                </a:ext>
              </a:extLst>
            </xdr:cNvPr>
            <xdr:cNvCxnSpPr>
              <a:cxnSpLocks/>
            </xdr:cNvCxnSpPr>
          </xdr:nvCxnSpPr>
          <xdr:spPr>
            <a:xfrm>
              <a:off x="13026370" y="43739415"/>
              <a:ext cx="0" cy="601980"/>
            </a:xfrm>
            <a:prstGeom prst="line">
              <a:avLst/>
            </a:prstGeom>
            <a:noFill/>
            <a:ln w="19050" cap="flat" cmpd="sng" algn="ctr">
              <a:solidFill>
                <a:srgbClr val="FF0000"/>
              </a:solidFill>
              <a:prstDash val="solid"/>
            </a:ln>
            <a:effectLst/>
          </xdr:spPr>
        </xdr:cxnSp>
        <xdr:sp macro="" textlink="">
          <xdr:nvSpPr>
            <xdr:cNvPr id="42" name="Zone de texte 307">
              <a:extLst>
                <a:ext uri="{FF2B5EF4-FFF2-40B4-BE49-F238E27FC236}">
                  <a16:creationId xmlns:a16="http://schemas.microsoft.com/office/drawing/2014/main" id="{00000000-0008-0000-0500-00002A000000}"/>
                </a:ext>
              </a:extLst>
            </xdr:cNvPr>
            <xdr:cNvSpPr txBox="1">
              <a:spLocks noChangeArrowheads="1"/>
            </xdr:cNvSpPr>
          </xdr:nvSpPr>
          <xdr:spPr bwMode="auto">
            <a:xfrm>
              <a:off x="1198306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Analytic side</a:t>
              </a:r>
            </a:p>
          </xdr:txBody>
        </xdr:sp>
        <xdr:sp macro="" textlink="">
          <xdr:nvSpPr>
            <xdr:cNvPr id="43" name="Zone de texte 4">
              <a:extLst>
                <a:ext uri="{FF2B5EF4-FFF2-40B4-BE49-F238E27FC236}">
                  <a16:creationId xmlns:a16="http://schemas.microsoft.com/office/drawing/2014/main" id="{00000000-0008-0000-0500-00002B000000}"/>
                </a:ext>
              </a:extLst>
            </xdr:cNvPr>
            <xdr:cNvSpPr txBox="1">
              <a:spLocks noChangeArrowheads="1"/>
            </xdr:cNvSpPr>
          </xdr:nvSpPr>
          <xdr:spPr bwMode="auto">
            <a:xfrm>
              <a:off x="13080345" y="43987065"/>
              <a:ext cx="113538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Process side</a:t>
              </a:r>
            </a:p>
          </xdr:txBody>
        </xdr:sp>
        <xdr:sp macro="" textlink="">
          <xdr:nvSpPr>
            <xdr:cNvPr id="44" name="Zone de texte 5">
              <a:extLst>
                <a:ext uri="{FF2B5EF4-FFF2-40B4-BE49-F238E27FC236}">
                  <a16:creationId xmlns:a16="http://schemas.microsoft.com/office/drawing/2014/main" id="{00000000-0008-0000-0500-00002C000000}"/>
                </a:ext>
              </a:extLst>
            </xdr:cNvPr>
            <xdr:cNvSpPr txBox="1">
              <a:spLocks noChangeArrowheads="1"/>
            </xdr:cNvSpPr>
          </xdr:nvSpPr>
          <xdr:spPr bwMode="auto">
            <a:xfrm>
              <a:off x="12698710" y="44265195"/>
              <a:ext cx="670560"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Flange</a:t>
              </a:r>
            </a:p>
          </xdr:txBody>
        </xdr:sp>
        <xdr:cxnSp macro="">
          <xdr:nvCxnSpPr>
            <xdr:cNvPr id="45" name="Connecteur droit avec flèche 6">
              <a:extLst>
                <a:ext uri="{FF2B5EF4-FFF2-40B4-BE49-F238E27FC236}">
                  <a16:creationId xmlns:a16="http://schemas.microsoft.com/office/drawing/2014/main" id="{00000000-0008-0000-0500-00002D000000}"/>
                </a:ext>
              </a:extLst>
            </xdr:cNvPr>
            <xdr:cNvCxnSpPr>
              <a:cxnSpLocks/>
            </xdr:cNvCxnSpPr>
          </xdr:nvCxnSpPr>
          <xdr:spPr>
            <a:xfrm flipH="1">
              <a:off x="12486966" y="43872130"/>
              <a:ext cx="1032388" cy="0"/>
            </a:xfrm>
            <a:prstGeom prst="straightConnector1">
              <a:avLst/>
            </a:prstGeom>
            <a:noFill/>
            <a:ln w="19050" cap="flat" cmpd="sng" algn="ctr">
              <a:solidFill>
                <a:srgbClr val="0070C0"/>
              </a:solidFill>
              <a:prstDash val="solid"/>
              <a:headEnd type="oval"/>
              <a:tailEnd type="arrow"/>
            </a:ln>
            <a:effectLst/>
          </xdr:spPr>
        </xdr:cxnSp>
      </xdr:grpSp>
      <xdr:sp macro="" textlink="">
        <xdr:nvSpPr>
          <xdr:cNvPr id="40" name="Zone de texte 4">
            <a:extLst>
              <a:ext uri="{FF2B5EF4-FFF2-40B4-BE49-F238E27FC236}">
                <a16:creationId xmlns:a16="http://schemas.microsoft.com/office/drawing/2014/main" id="{00000000-0008-0000-0500-000028000000}"/>
              </a:ext>
            </a:extLst>
          </xdr:cNvPr>
          <xdr:cNvSpPr txBox="1">
            <a:spLocks noChangeArrowheads="1"/>
          </xdr:cNvSpPr>
        </xdr:nvSpPr>
        <xdr:spPr bwMode="auto">
          <a:xfrm>
            <a:off x="12253452" y="44280190"/>
            <a:ext cx="2372032" cy="33528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a:effectLst/>
                <a:latin typeface="Times New Roman"/>
                <a:ea typeface="Times New Roman"/>
              </a:rPr>
              <a:t>Process side towards analytics side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a2\07.MP_Support\M.Templates\013%20-%20R&#233;alisation\Nomenclature%201.01.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enclature"/>
      <sheetName val="Fournisseur"/>
      <sheetName val="Option"/>
    </sheetNames>
    <sheetDataSet>
      <sheetData sheetId="0"/>
      <sheetData sheetId="1"/>
      <sheetData sheetId="2">
        <row r="1">
          <cell r="B1" t="str">
            <v>-</v>
          </cell>
        </row>
        <row r="2">
          <cell r="B2" t="str">
            <v>NI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1"/>
  <sheetViews>
    <sheetView showGridLines="0" showZeros="0" tabSelected="1" showRuler="0" view="pageLayout" zoomScaleNormal="100" zoomScaleSheetLayoutView="100" workbookViewId="0">
      <selection activeCell="E6" sqref="E6"/>
    </sheetView>
  </sheetViews>
  <sheetFormatPr defaultColWidth="8.81640625" defaultRowHeight="12.5" x14ac:dyDescent="0.25"/>
  <cols>
    <col min="1" max="3" width="8.81640625" style="5"/>
    <col min="4" max="4" width="6.26953125" style="5" customWidth="1"/>
    <col min="5" max="5" width="55.26953125" style="5" customWidth="1"/>
    <col min="6" max="16384" width="8.81640625" style="5"/>
  </cols>
  <sheetData>
    <row r="1" spans="1:5" ht="41.5" customHeight="1" x14ac:dyDescent="0.25">
      <c r="A1" s="119"/>
      <c r="B1" s="119"/>
      <c r="C1" s="119"/>
      <c r="D1" s="119"/>
      <c r="E1" s="6" t="str">
        <f>VLOOKUP($E$2,lookups!$A$37:$B$38,2)</f>
        <v>Configuring questionnaire for in-situ process analysis</v>
      </c>
    </row>
    <row r="2" spans="1:5" ht="13" x14ac:dyDescent="0.3">
      <c r="A2" s="143" t="str">
        <f>VLOOKUP($E$2,lookups!$A$1:$HX$5,ROW())</f>
        <v>Language of formular:</v>
      </c>
      <c r="B2" s="143"/>
      <c r="C2" s="143"/>
      <c r="D2" s="143"/>
      <c r="E2" s="23" t="s">
        <v>48</v>
      </c>
    </row>
    <row r="4" spans="1:5" ht="13" x14ac:dyDescent="0.3">
      <c r="A4" s="136" t="str">
        <f>VLOOKUP($E$2,lookups!$A$1:$HX$5,ROW())</f>
        <v>Details of end user</v>
      </c>
      <c r="B4" s="137"/>
      <c r="C4" s="137"/>
      <c r="D4" s="137"/>
      <c r="E4" s="137"/>
    </row>
    <row r="5" spans="1:5" x14ac:dyDescent="0.25">
      <c r="A5" s="138" t="str">
        <f>VLOOKUP($E$2,lookups!$A$1:$HX$5,ROW())</f>
        <v>Customer name:</v>
      </c>
      <c r="B5" s="139"/>
      <c r="C5" s="139"/>
      <c r="D5" s="124"/>
      <c r="E5" s="21"/>
    </row>
    <row r="6" spans="1:5" x14ac:dyDescent="0.25">
      <c r="A6" s="133" t="str">
        <f>VLOOKUP($E$2,lookups!$A$1:$HX$5,ROW())</f>
        <v>Plant type or process type</v>
      </c>
      <c r="B6" s="134"/>
      <c r="C6" s="134"/>
      <c r="D6" s="135"/>
      <c r="E6" s="21"/>
    </row>
    <row r="7" spans="1:5" x14ac:dyDescent="0.25">
      <c r="A7" s="131" t="str">
        <f>VLOOKUP($E$2,lookups!$A$1:$HX$5,ROW())</f>
        <v>Contact person:</v>
      </c>
      <c r="B7" s="132"/>
      <c r="C7" s="132"/>
      <c r="D7" s="127"/>
      <c r="E7" s="21"/>
    </row>
    <row r="8" spans="1:5" x14ac:dyDescent="0.25">
      <c r="A8" s="133" t="str">
        <f>VLOOKUP($E$2,lookups!$A$1:$HX$5,ROW())</f>
        <v>Address:</v>
      </c>
      <c r="B8" s="134"/>
      <c r="C8" s="134"/>
      <c r="D8" s="135"/>
      <c r="E8" s="21"/>
    </row>
    <row r="9" spans="1:5" x14ac:dyDescent="0.25">
      <c r="A9" s="133" t="str">
        <f>VLOOKUP($E$2,lookups!$A$1:$HX$5,ROW())</f>
        <v>Preferred contact language:</v>
      </c>
      <c r="B9" s="134"/>
      <c r="C9" s="134"/>
      <c r="D9" s="135"/>
      <c r="E9" s="21"/>
    </row>
    <row r="10" spans="1:5" x14ac:dyDescent="0.25">
      <c r="A10" s="131" t="str">
        <f>VLOOKUP($E$2,lookups!$A$1:$HX$5,ROW())</f>
        <v>Phone:</v>
      </c>
      <c r="B10" s="132"/>
      <c r="C10" s="132"/>
      <c r="D10" s="127"/>
      <c r="E10" s="21"/>
    </row>
    <row r="11" spans="1:5" x14ac:dyDescent="0.25">
      <c r="A11" s="131" t="str">
        <f>VLOOKUP($E$2,lookups!$A$1:$HX$5,ROW())</f>
        <v>Fax:</v>
      </c>
      <c r="B11" s="132"/>
      <c r="C11" s="132"/>
      <c r="D11" s="127"/>
      <c r="E11" s="21"/>
    </row>
    <row r="12" spans="1:5" x14ac:dyDescent="0.25">
      <c r="A12" s="128" t="str">
        <f>VLOOKUP($E$2,lookups!$A$1:$HX$5,ROW())</f>
        <v>E-mail:</v>
      </c>
      <c r="B12" s="129"/>
      <c r="C12" s="129"/>
      <c r="D12" s="130"/>
      <c r="E12" s="21"/>
    </row>
    <row r="13" spans="1:5" x14ac:dyDescent="0.25">
      <c r="A13" s="119"/>
      <c r="B13" s="119"/>
      <c r="C13" s="119"/>
      <c r="D13" s="119"/>
    </row>
    <row r="14" spans="1:5" ht="13" x14ac:dyDescent="0.3">
      <c r="A14" s="136" t="str">
        <f>VLOOKUP($E$2,lookups!$A$1:$HX$5,ROW())</f>
        <v>Details of Siemens contact person</v>
      </c>
      <c r="B14" s="137"/>
      <c r="C14" s="137"/>
      <c r="D14" s="137"/>
      <c r="E14" s="137"/>
    </row>
    <row r="15" spans="1:5" x14ac:dyDescent="0.25">
      <c r="A15" s="138" t="str">
        <f>VLOOKUP($E$2,lookups!$A$1:$HX$5,ROW())</f>
        <v>Sales office/representative:</v>
      </c>
      <c r="B15" s="139"/>
      <c r="C15" s="139"/>
      <c r="D15" s="124"/>
      <c r="E15" s="21"/>
    </row>
    <row r="16" spans="1:5" x14ac:dyDescent="0.25">
      <c r="A16" s="125" t="str">
        <f>VLOOKUP($E$2,lookups!$A$1:$HX$5,ROW())</f>
        <v>Date of inquiry:</v>
      </c>
      <c r="B16" s="126"/>
      <c r="C16" s="126"/>
      <c r="D16" s="127"/>
      <c r="E16" s="21"/>
    </row>
    <row r="17" spans="1:7" x14ac:dyDescent="0.25">
      <c r="A17" s="125" t="str">
        <f>VLOOKUP($E$2,lookups!$A$1:$HX$5,ROW())</f>
        <v>Inquiry N°:</v>
      </c>
      <c r="B17" s="126"/>
      <c r="C17" s="126"/>
      <c r="D17" s="127"/>
      <c r="E17" s="22"/>
    </row>
    <row r="18" spans="1:7" x14ac:dyDescent="0.25">
      <c r="A18" s="125" t="str">
        <f>VLOOKUP($E$2,lookups!$A$1:$HX$5,ROW())</f>
        <v>Name:</v>
      </c>
      <c r="B18" s="126"/>
      <c r="C18" s="126"/>
      <c r="D18" s="127"/>
      <c r="E18" s="21"/>
    </row>
    <row r="19" spans="1:7" ht="13.15" customHeight="1" x14ac:dyDescent="0.25">
      <c r="A19" s="125" t="str">
        <f>VLOOKUP($E$2,lookups!$A$1:$HX$5,ROW())</f>
        <v>Address:</v>
      </c>
      <c r="B19" s="126"/>
      <c r="C19" s="126"/>
      <c r="D19" s="127"/>
      <c r="E19" s="21"/>
    </row>
    <row r="20" spans="1:7" x14ac:dyDescent="0.25">
      <c r="A20" s="125" t="str">
        <f>VLOOKUP($E$2,lookups!$A$1:$HX$5,ROW())</f>
        <v>Phone:</v>
      </c>
      <c r="B20" s="126"/>
      <c r="C20" s="126"/>
      <c r="D20" s="127"/>
      <c r="E20" s="21"/>
    </row>
    <row r="21" spans="1:7" x14ac:dyDescent="0.25">
      <c r="A21" s="125" t="str">
        <f>VLOOKUP($E$2,lookups!$A$1:$HX$5,ROW())</f>
        <v>Fax:</v>
      </c>
      <c r="B21" s="126"/>
      <c r="C21" s="126"/>
      <c r="D21" s="127"/>
      <c r="E21" s="21"/>
    </row>
    <row r="22" spans="1:7" x14ac:dyDescent="0.25">
      <c r="A22" s="128" t="str">
        <f>VLOOKUP($E$2,lookups!$A$1:$HX$5,ROW())</f>
        <v>E-mail:</v>
      </c>
      <c r="B22" s="129"/>
      <c r="C22" s="129"/>
      <c r="D22" s="130"/>
      <c r="E22" s="21"/>
    </row>
    <row r="23" spans="1:7" x14ac:dyDescent="0.25">
      <c r="A23" s="119"/>
      <c r="B23" s="119"/>
      <c r="C23" s="119"/>
      <c r="D23" s="119"/>
    </row>
    <row r="24" spans="1:7" ht="13" x14ac:dyDescent="0.3">
      <c r="A24" s="136" t="str">
        <f>VLOOKUP($E$2,lookups!$A$1:$HX$5,ROW())</f>
        <v>Result of inquiry evaluation (if measurement feasible, proposal in sheet(s) titled ''Return Form")</v>
      </c>
      <c r="B24" s="137"/>
      <c r="C24" s="137"/>
      <c r="D24" s="137"/>
      <c r="E24" s="137"/>
    </row>
    <row r="25" spans="1:7" ht="13.15" customHeight="1" x14ac:dyDescent="0.3">
      <c r="A25" s="140" t="str">
        <f>VLOOKUP($E$2,lookups!$A$1:$HX$5,ROW())</f>
        <v>This table to be filled out by PD PA AP SUP staff only!</v>
      </c>
      <c r="B25" s="141"/>
      <c r="C25" s="141"/>
      <c r="D25" s="141"/>
      <c r="E25" s="142"/>
      <c r="G25" s="1"/>
    </row>
    <row r="26" spans="1:7" x14ac:dyDescent="0.25">
      <c r="A26" s="122" t="str">
        <f>VLOOKUP($E$2,lookups!$A$1:$HX$5,ROW())</f>
        <v>Project N°:</v>
      </c>
      <c r="B26" s="123"/>
      <c r="C26" s="123"/>
      <c r="D26" s="124"/>
      <c r="E26" s="21"/>
    </row>
    <row r="27" spans="1:7" x14ac:dyDescent="0.25">
      <c r="A27" s="131" t="str">
        <f>VLOOKUP($E$2,lookups!$A$1:$HX$5,ROW())</f>
        <v>Contact person PD PA AP SUP:</v>
      </c>
      <c r="B27" s="132"/>
      <c r="C27" s="132"/>
      <c r="D27" s="127"/>
      <c r="E27" s="21"/>
    </row>
    <row r="28" spans="1:7" x14ac:dyDescent="0.25">
      <c r="A28" s="128" t="str">
        <f>VLOOKUP($E$2,lookups!$A$1:$HX$5,ROW())</f>
        <v>Approval result:</v>
      </c>
      <c r="B28" s="129"/>
      <c r="C28" s="129"/>
      <c r="D28" s="130"/>
      <c r="E28" s="21"/>
    </row>
    <row r="29" spans="1:7" x14ac:dyDescent="0.25">
      <c r="A29" s="119"/>
      <c r="B29" s="119"/>
      <c r="C29" s="119"/>
      <c r="D29" s="119"/>
      <c r="E29" s="119"/>
    </row>
    <row r="30" spans="1:7" x14ac:dyDescent="0.25">
      <c r="A30" s="119"/>
      <c r="B30" s="119"/>
      <c r="C30" s="119"/>
      <c r="D30" s="119"/>
      <c r="E30" s="119"/>
    </row>
    <row r="31" spans="1:7" ht="19.149999999999999" customHeight="1" x14ac:dyDescent="0.25">
      <c r="A31" s="114" t="str">
        <f>VLOOKUP($E$2,lookups!$A$1:$HX$5,ROW())</f>
        <v>Please note:</v>
      </c>
      <c r="B31" s="114"/>
      <c r="C31" s="114"/>
      <c r="D31" s="114"/>
      <c r="E31" s="114"/>
    </row>
    <row r="32" spans="1:7" ht="304.5" customHeight="1" x14ac:dyDescent="0.25">
      <c r="A32" s="120" t="str">
        <f>VLOOKUP($E$2,lookups!$A$1:$HX$5,ROW())</f>
        <v xml:space="preserve">-- In order to receive an offer adapted to your needs, please fill in the worksheets "General Information", "Gas composition and ambient", as well as the worksheet "Questionnaire LDS6" or "Questionnaire SITRANS SL", depending on the desired device.
- All fields to be filled in have a white background. Fields that are not filled in are considered irrelevant for your application. Possible problems resulting from unfilled cells are your responsibility.
- If special hardware is required, please also fill in the worksheet "Special Hardware".
- Please note that missing or incorrect information can lead to an inappropriate offer as well as to increased offer costs. Therefore, please inform us if information is uncertain or may change significantly. You can use the "Notes" field of the "Process gas composition and amb" worksheet to do this. If you know alternative conditions, e.g. if you do not know which device is best suited, you can also inform us about it in this field.
- In order to allow a more efficient answer, please use the selection lists. Please do not write units as free text in the cells.
- All relevant information must be included in this document. Information that is only in the Service Request will not be considered.
- Unless otherwise indicated in our answer, all instructions and specifications from AP 01 catalog stay valid.
</v>
      </c>
      <c r="B32" s="120"/>
      <c r="C32" s="120"/>
      <c r="D32" s="120"/>
      <c r="E32" s="120"/>
    </row>
    <row r="33" spans="1:5" ht="4.5" customHeight="1" x14ac:dyDescent="0.25">
      <c r="A33" s="117"/>
      <c r="B33" s="118"/>
      <c r="C33" s="118"/>
      <c r="D33" s="118"/>
      <c r="E33" s="118"/>
    </row>
    <row r="34" spans="1:5" ht="3" customHeight="1" x14ac:dyDescent="0.25">
      <c r="A34" s="121">
        <f>VLOOKUP($E$2,lookups!$A$1:$HX$5,ROW())</f>
        <v>0</v>
      </c>
      <c r="B34" s="121"/>
      <c r="C34" s="121"/>
      <c r="D34" s="121"/>
      <c r="E34" s="121"/>
    </row>
    <row r="35" spans="1:5" ht="256.5" customHeight="1" x14ac:dyDescent="0.25">
      <c r="A35" s="120">
        <f>VLOOKUP($E$2,lookups!$A$1:$HX$5,ROW())</f>
        <v>0</v>
      </c>
      <c r="B35" s="120"/>
      <c r="C35" s="120"/>
      <c r="D35" s="120"/>
      <c r="E35" s="120"/>
    </row>
    <row r="36" spans="1:5" x14ac:dyDescent="0.25">
      <c r="A36" s="116"/>
      <c r="B36" s="116"/>
      <c r="C36" s="116"/>
      <c r="D36" s="116"/>
      <c r="E36" s="116"/>
    </row>
    <row r="37" spans="1:5" ht="19.149999999999999" customHeight="1" x14ac:dyDescent="0.25">
      <c r="A37" s="114">
        <f>VLOOKUP($E$2,lookups!$A$1:$HX$5,ROW())</f>
        <v>0</v>
      </c>
      <c r="B37" s="114"/>
      <c r="C37" s="114"/>
      <c r="D37" s="114"/>
      <c r="E37" s="114"/>
    </row>
    <row r="38" spans="1:5" ht="54.65" customHeight="1" x14ac:dyDescent="0.25">
      <c r="A38" s="115">
        <f>VLOOKUP($E$2,lookups!$A$1:$HX$5,ROW())</f>
        <v>0</v>
      </c>
      <c r="B38" s="115"/>
      <c r="C38" s="115"/>
      <c r="D38" s="115"/>
      <c r="E38" s="115"/>
    </row>
    <row r="41" spans="1:5" x14ac:dyDescent="0.25">
      <c r="E41" s="7"/>
    </row>
  </sheetData>
  <sheetProtection algorithmName="SHA-512" hashValue="zfPi4ta7ry5TM9jzO2aE5VAlJk0TJPvPwG0qNFjCSVLG+qB9stzones7pwq6qnRr47cZjJzeq+rzgG7mpClqtQ==" saltValue="RlexkhXQuVXDK9c/ji7HXg==" spinCount="100000" sheet="1" insertHyperlinks="0" selectLockedCells="1"/>
  <protectedRanges>
    <protectedRange sqref="E2 E5:E12 E15:E22 E26:E28" name="General Infos"/>
  </protectedRanges>
  <mergeCells count="36">
    <mergeCell ref="A1:D1"/>
    <mergeCell ref="A4:E4"/>
    <mergeCell ref="A5:D5"/>
    <mergeCell ref="A6:D6"/>
    <mergeCell ref="A7:D7"/>
    <mergeCell ref="A2:D2"/>
    <mergeCell ref="A27:D27"/>
    <mergeCell ref="A28:D28"/>
    <mergeCell ref="A8:D8"/>
    <mergeCell ref="A9:D9"/>
    <mergeCell ref="A10:D10"/>
    <mergeCell ref="A11:D11"/>
    <mergeCell ref="A12:D12"/>
    <mergeCell ref="A20:D20"/>
    <mergeCell ref="A21:D21"/>
    <mergeCell ref="A14:E14"/>
    <mergeCell ref="A15:D15"/>
    <mergeCell ref="A13:D13"/>
    <mergeCell ref="A16:D16"/>
    <mergeCell ref="A17:D17"/>
    <mergeCell ref="A24:E24"/>
    <mergeCell ref="A25:E25"/>
    <mergeCell ref="A26:D26"/>
    <mergeCell ref="A23:D23"/>
    <mergeCell ref="A18:D18"/>
    <mergeCell ref="A19:D19"/>
    <mergeCell ref="A22:D22"/>
    <mergeCell ref="A37:E37"/>
    <mergeCell ref="A38:E38"/>
    <mergeCell ref="A36:E36"/>
    <mergeCell ref="A33:E33"/>
    <mergeCell ref="A29:E30"/>
    <mergeCell ref="A32:E32"/>
    <mergeCell ref="A35:E35"/>
    <mergeCell ref="A31:E31"/>
    <mergeCell ref="A34:E34"/>
  </mergeCells>
  <dataValidations count="1">
    <dataValidation type="list" allowBlank="1" showInputMessage="1" showErrorMessage="1" sqref="E2" xr:uid="{00000000-0002-0000-0000-000000000000}">
      <formula1>"DE,EN"</formula1>
    </dataValidation>
  </dataValidations>
  <pageMargins left="0.7" right="0.7" top="0.75" bottom="0.75" header="0.3" footer="0.3"/>
  <pageSetup paperSize="9" orientation="portrait" r:id="rId1"/>
  <headerFooter>
    <oddHeader xml:space="preserve">&amp;C </oddHeader>
    <oddFooter>&amp;C&amp;9Please note further specifications in catalog. / Bitte weitere Spezifikationen dem Katalog entnehmen.&amp;10
&amp;"Arial,Bold"Support Request URL:&amp;"Arial,Regular" https://support.industry.siemens.com/My/ww/en/requests#createRequest</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45"/>
  <sheetViews>
    <sheetView showGridLines="0" showRuler="0" view="pageLayout" topLeftCell="A10" zoomScaleNormal="100" zoomScaleSheetLayoutView="100" workbookViewId="0">
      <selection activeCell="F10" sqref="F10"/>
    </sheetView>
  </sheetViews>
  <sheetFormatPr defaultColWidth="8.81640625" defaultRowHeight="12.5" x14ac:dyDescent="0.25"/>
  <cols>
    <col min="1" max="1" width="0.26953125" style="5" customWidth="1"/>
    <col min="2" max="2" width="11.81640625" style="5" customWidth="1"/>
    <col min="3" max="3" width="11.26953125" style="5" customWidth="1"/>
    <col min="4" max="4" width="8.81640625" style="5" customWidth="1"/>
    <col min="5" max="5" width="12.26953125" style="5" customWidth="1"/>
    <col min="6" max="6" width="6" style="2" customWidth="1"/>
    <col min="7" max="7" width="12.26953125" style="5" customWidth="1"/>
    <col min="8" max="8" width="6" style="5" customWidth="1"/>
    <col min="9" max="9" width="12.26953125" style="5" customWidth="1"/>
    <col min="10" max="10" width="6" style="5" customWidth="1"/>
    <col min="11" max="11" width="2.54296875" style="5" customWidth="1"/>
    <col min="12" max="12" width="2.81640625" style="5" customWidth="1"/>
    <col min="13" max="16384" width="8.81640625" style="5"/>
  </cols>
  <sheetData>
    <row r="1" spans="1:11" ht="41.5" customHeight="1" x14ac:dyDescent="0.25">
      <c r="A1" s="182"/>
      <c r="B1" s="182"/>
      <c r="C1" s="182"/>
      <c r="D1" s="182"/>
      <c r="E1" s="178" t="str">
        <f>VLOOKUP('General Informations'!$E$2,lookups!$A$37:$B$38,2)</f>
        <v>Configuring questionnaire for in-situ process analysis</v>
      </c>
      <c r="F1" s="178"/>
      <c r="G1" s="178"/>
      <c r="H1" s="178"/>
      <c r="I1" s="178"/>
      <c r="J1" s="178"/>
      <c r="K1" s="6"/>
    </row>
    <row r="2" spans="1:11" ht="1.1499999999999999" customHeight="1" x14ac:dyDescent="0.25">
      <c r="A2" s="14"/>
      <c r="B2" s="14"/>
      <c r="C2" s="14"/>
      <c r="D2" s="14"/>
      <c r="E2" s="14"/>
      <c r="F2" s="24"/>
      <c r="G2" s="15"/>
      <c r="H2" s="15"/>
      <c r="I2" s="15"/>
      <c r="J2" s="15"/>
    </row>
    <row r="3" spans="1:11" ht="16.149999999999999" customHeight="1" x14ac:dyDescent="0.25">
      <c r="A3" s="16" t="str">
        <f>VLOOKUP('General Informations'!$E$2,lookups!$A$7:$HX$11,ROW())</f>
        <v>LDS6: Explanatory drawing of requested information and essential application information</v>
      </c>
      <c r="B3" s="16"/>
      <c r="C3" s="16"/>
      <c r="D3" s="16"/>
      <c r="E3" s="16"/>
      <c r="F3" s="25"/>
      <c r="G3" s="15"/>
      <c r="H3" s="15"/>
      <c r="I3" s="15"/>
      <c r="J3" s="15"/>
    </row>
    <row r="4" spans="1:11" ht="146.25" customHeight="1" x14ac:dyDescent="0.25">
      <c r="A4" s="26" t="str">
        <f>VLOOKUP('General Informations'!$E$2,lookups!$A$7:$HX$11,ROW())</f>
        <v>LDS6_EN</v>
      </c>
      <c r="B4" s="190"/>
      <c r="C4" s="190"/>
      <c r="D4" s="190"/>
      <c r="E4" s="190"/>
      <c r="F4" s="190"/>
      <c r="G4" s="190"/>
      <c r="H4" s="190"/>
      <c r="I4" s="190"/>
      <c r="J4" s="190"/>
    </row>
    <row r="5" spans="1:11" ht="13.15" customHeight="1" x14ac:dyDescent="0.3">
      <c r="A5" s="179" t="str">
        <f>VLOOKUP('General Informations'!$E$2,lookups!$A$7:$HX$11,ROW())</f>
        <v>Analytical information and sensor demands</v>
      </c>
      <c r="B5" s="180"/>
      <c r="C5" s="180"/>
      <c r="D5" s="180"/>
      <c r="E5" s="180"/>
      <c r="F5" s="180"/>
      <c r="G5" s="180"/>
      <c r="H5" s="180"/>
      <c r="I5" s="180"/>
      <c r="J5" s="181"/>
    </row>
    <row r="6" spans="1:11" ht="13.15" customHeight="1" x14ac:dyDescent="0.25">
      <c r="A6" s="183"/>
      <c r="B6" s="184"/>
      <c r="C6" s="184"/>
      <c r="D6" s="185"/>
      <c r="E6" s="188" t="str">
        <f>VLOOKUP('General Informations'!$E$2,lookups!$A$7:$HX$11,50)</f>
        <v>Channel 1</v>
      </c>
      <c r="F6" s="189"/>
      <c r="G6" s="186" t="str">
        <f>VLOOKUP('General Informations'!$E$2,lookups!$A$7:$HX$11,51)</f>
        <v>Channel 2</v>
      </c>
      <c r="H6" s="187"/>
      <c r="I6" s="186" t="str">
        <f>VLOOKUP('General Informations'!$E$2,lookups!$A$7:$HX$11,52)</f>
        <v>Channel 3</v>
      </c>
      <c r="J6" s="187"/>
    </row>
    <row r="7" spans="1:11" ht="13.15" customHeight="1" x14ac:dyDescent="0.25">
      <c r="A7" s="164" t="str">
        <f>VLOOKUP('General Informations'!$E$2,lookups!$A$7:$HX$11,ROW())</f>
        <v>Measured Component(s)</v>
      </c>
      <c r="B7" s="165"/>
      <c r="C7" s="165"/>
      <c r="D7" s="166"/>
      <c r="E7" s="66"/>
      <c r="F7" s="40"/>
      <c r="G7" s="66"/>
      <c r="H7" s="62"/>
      <c r="I7" s="66"/>
      <c r="J7" s="62"/>
    </row>
    <row r="8" spans="1:11" ht="13.15" customHeight="1" x14ac:dyDescent="0.25">
      <c r="A8" s="158" t="str">
        <f>VLOOKUP('General Informations'!$E$2,lookups!$A$7:$HX$11,ROW())</f>
        <v>Component 1</v>
      </c>
      <c r="B8" s="159"/>
      <c r="C8" s="159"/>
      <c r="D8" s="160"/>
      <c r="E8" s="191"/>
      <c r="F8" s="192"/>
      <c r="G8" s="192"/>
      <c r="H8" s="192"/>
      <c r="I8" s="192"/>
      <c r="J8" s="193"/>
    </row>
    <row r="9" spans="1:11" ht="13.15" customHeight="1" x14ac:dyDescent="0.25">
      <c r="A9" s="161" t="str">
        <f>VLOOKUP('General Informations'!$E$2,lookups!$A$7:$HX$11,ROW())</f>
        <v>Measuring Range</v>
      </c>
      <c r="B9" s="162"/>
      <c r="C9" s="162"/>
      <c r="D9" s="163"/>
      <c r="E9" s="67"/>
      <c r="F9" s="41" t="s">
        <v>41</v>
      </c>
      <c r="G9" s="67"/>
      <c r="H9" s="41" t="str">
        <f>F9</f>
        <v>[unit]</v>
      </c>
      <c r="I9" s="67"/>
      <c r="J9" s="41" t="str">
        <f>F9</f>
        <v>[unit]</v>
      </c>
    </row>
    <row r="10" spans="1:11" ht="13.15" customHeight="1" x14ac:dyDescent="0.25">
      <c r="A10" s="161" t="str">
        <f>VLOOKUP('General Informations'!$E$2,lookups!$A$7:$HX$11,ROW())</f>
        <v>Typical concentration</v>
      </c>
      <c r="B10" s="162"/>
      <c r="C10" s="162"/>
      <c r="D10" s="163"/>
      <c r="E10" s="67"/>
      <c r="F10" s="41" t="str">
        <f>F9</f>
        <v>[unit]</v>
      </c>
      <c r="G10" s="67"/>
      <c r="H10" s="41" t="str">
        <f>F10</f>
        <v>[unit]</v>
      </c>
      <c r="I10" s="67"/>
      <c r="J10" s="41" t="str">
        <f>F10</f>
        <v>[unit]</v>
      </c>
    </row>
    <row r="11" spans="1:11" ht="13.15" customHeight="1" x14ac:dyDescent="0.25">
      <c r="A11" s="161" t="str">
        <f>VLOOKUP('General Informations'!$E$2,lookups!$A$7:$HX$11,ROW())</f>
        <v>Type of measurement</v>
      </c>
      <c r="B11" s="162"/>
      <c r="C11" s="162"/>
      <c r="D11" s="163"/>
      <c r="E11" s="146"/>
      <c r="F11" s="147"/>
      <c r="G11" s="146"/>
      <c r="H11" s="147"/>
      <c r="I11" s="146"/>
      <c r="J11" s="147"/>
    </row>
    <row r="12" spans="1:11" ht="13.15" customHeight="1" x14ac:dyDescent="0.25">
      <c r="A12" s="161" t="str">
        <f>VLOOKUP('General Informations'!$E$2,lookups!$A$7:$HX$11,ROW())</f>
        <v>Threshold (if applicable)</v>
      </c>
      <c r="B12" s="162"/>
      <c r="C12" s="162"/>
      <c r="D12" s="163"/>
      <c r="E12" s="67"/>
      <c r="F12" s="41" t="str">
        <f>F9</f>
        <v>[unit]</v>
      </c>
      <c r="G12" s="67"/>
      <c r="H12" s="41" t="str">
        <f>F12</f>
        <v>[unit]</v>
      </c>
      <c r="I12" s="67"/>
      <c r="J12" s="41" t="str">
        <f>F12</f>
        <v>[unit]</v>
      </c>
    </row>
    <row r="13" spans="1:11" ht="13.15" customHeight="1" x14ac:dyDescent="0.25">
      <c r="A13" s="161" t="str">
        <f>VLOOKUP('General Informations'!$E$2,lookups!$A$7:$HX$11,ROW())</f>
        <v xml:space="preserve">Required repeatability </v>
      </c>
      <c r="B13" s="162"/>
      <c r="C13" s="162"/>
      <c r="D13" s="163"/>
      <c r="E13" s="67"/>
      <c r="F13" s="41" t="s">
        <v>41</v>
      </c>
      <c r="G13" s="67"/>
      <c r="H13" s="41" t="str">
        <f>F13</f>
        <v>[unit]</v>
      </c>
      <c r="I13" s="67"/>
      <c r="J13" s="41" t="str">
        <f>F13</f>
        <v>[unit]</v>
      </c>
    </row>
    <row r="14" spans="1:11" ht="13.15" customHeight="1" x14ac:dyDescent="0.25">
      <c r="A14" s="164" t="str">
        <f>VLOOKUP('General Informations'!$E$2,lookups!$A$7:$HX$11,ROW())</f>
        <v>Component 2</v>
      </c>
      <c r="B14" s="165"/>
      <c r="C14" s="165"/>
      <c r="D14" s="166"/>
      <c r="E14" s="191"/>
      <c r="F14" s="192"/>
      <c r="G14" s="192"/>
      <c r="H14" s="192"/>
      <c r="I14" s="192"/>
      <c r="J14" s="193"/>
    </row>
    <row r="15" spans="1:11" ht="13.15" customHeight="1" x14ac:dyDescent="0.25">
      <c r="A15" s="161" t="str">
        <f>VLOOKUP('General Informations'!$E$2,lookups!$A$7:$HX$11,ROW())</f>
        <v>Measuring Range</v>
      </c>
      <c r="B15" s="162"/>
      <c r="C15" s="162"/>
      <c r="D15" s="163"/>
      <c r="E15" s="67"/>
      <c r="F15" s="41" t="s">
        <v>41</v>
      </c>
      <c r="G15" s="67"/>
      <c r="H15" s="41" t="str">
        <f>F15</f>
        <v>[unit]</v>
      </c>
      <c r="I15" s="67"/>
      <c r="J15" s="41" t="str">
        <f>H15</f>
        <v>[unit]</v>
      </c>
    </row>
    <row r="16" spans="1:11" ht="13.15" customHeight="1" x14ac:dyDescent="0.25">
      <c r="A16" s="161" t="str">
        <f>VLOOKUP('General Informations'!$E$2,lookups!$A$7:$HX$11,ROW())</f>
        <v>Typical concentration</v>
      </c>
      <c r="B16" s="162"/>
      <c r="C16" s="162"/>
      <c r="D16" s="163"/>
      <c r="E16" s="67"/>
      <c r="F16" s="41" t="str">
        <f>F15</f>
        <v>[unit]</v>
      </c>
      <c r="G16" s="67"/>
      <c r="H16" s="41" t="str">
        <f>F16</f>
        <v>[unit]</v>
      </c>
      <c r="I16" s="67"/>
      <c r="J16" s="41" t="str">
        <f>H16</f>
        <v>[unit]</v>
      </c>
    </row>
    <row r="17" spans="1:13" ht="13.15" customHeight="1" x14ac:dyDescent="0.25">
      <c r="A17" s="161" t="str">
        <f>VLOOKUP('General Informations'!$E$2,lookups!$A$7:$HX$11,ROW())</f>
        <v>Type of measurement</v>
      </c>
      <c r="B17" s="162"/>
      <c r="C17" s="162"/>
      <c r="D17" s="163"/>
      <c r="E17" s="146"/>
      <c r="F17" s="147"/>
      <c r="G17" s="146"/>
      <c r="H17" s="147"/>
      <c r="I17" s="146"/>
      <c r="J17" s="147"/>
    </row>
    <row r="18" spans="1:13" ht="13.15" customHeight="1" x14ac:dyDescent="0.25">
      <c r="A18" s="161" t="str">
        <f>VLOOKUP('General Informations'!$E$2,lookups!$A$7:$HX$11,ROW())</f>
        <v>Threshold (if applicable)</v>
      </c>
      <c r="B18" s="162"/>
      <c r="C18" s="162"/>
      <c r="D18" s="163"/>
      <c r="E18" s="67"/>
      <c r="F18" s="41" t="str">
        <f>F15</f>
        <v>[unit]</v>
      </c>
      <c r="G18" s="67"/>
      <c r="H18" s="41" t="str">
        <f>F18</f>
        <v>[unit]</v>
      </c>
      <c r="I18" s="67"/>
      <c r="J18" s="41" t="str">
        <f>F18</f>
        <v>[unit]</v>
      </c>
    </row>
    <row r="19" spans="1:13" ht="13.15" customHeight="1" x14ac:dyDescent="0.25">
      <c r="A19" s="161" t="str">
        <f>VLOOKUP('General Informations'!$E$2,lookups!$A$7:$HX$11,ROW())</f>
        <v xml:space="preserve">Required repeatability </v>
      </c>
      <c r="B19" s="162"/>
      <c r="C19" s="162"/>
      <c r="D19" s="163"/>
      <c r="E19" s="67"/>
      <c r="F19" s="41" t="s">
        <v>41</v>
      </c>
      <c r="G19" s="67"/>
      <c r="H19" s="41" t="str">
        <f>F19</f>
        <v>[unit]</v>
      </c>
      <c r="I19" s="67"/>
      <c r="J19" s="41" t="str">
        <f>F19</f>
        <v>[unit]</v>
      </c>
    </row>
    <row r="20" spans="1:13" ht="13.15" customHeight="1" x14ac:dyDescent="0.25">
      <c r="A20" s="169" t="str">
        <f>VLOOKUP('General Informations'!$E$2,lookups!$A$7:$HX$11,ROW())</f>
        <v>Gas Temperature</v>
      </c>
      <c r="B20" s="177"/>
      <c r="C20" s="177"/>
      <c r="D20" s="27" t="str">
        <f>VLOOKUP('General Informations'!$E$2,lookups!$A$7:$HX$11,47)</f>
        <v>min-max</v>
      </c>
      <c r="E20" s="58"/>
      <c r="F20" s="42" t="s">
        <v>42</v>
      </c>
      <c r="G20" s="58"/>
      <c r="H20" s="42" t="str">
        <f>F20</f>
        <v>°C</v>
      </c>
      <c r="I20" s="58"/>
      <c r="J20" s="42" t="str">
        <f>F20</f>
        <v>°C</v>
      </c>
    </row>
    <row r="21" spans="1:13" ht="13.15" customHeight="1" x14ac:dyDescent="0.25">
      <c r="A21" s="167"/>
      <c r="B21" s="168"/>
      <c r="C21" s="168"/>
      <c r="D21" s="28" t="str">
        <f>VLOOKUP('General Informations'!$E$2,lookups!$A$7:$HX$11,48)</f>
        <v>typical</v>
      </c>
      <c r="E21" s="68"/>
      <c r="F21" s="42" t="str">
        <f>F20</f>
        <v>°C</v>
      </c>
      <c r="G21" s="68"/>
      <c r="H21" s="42" t="str">
        <f>F20</f>
        <v>°C</v>
      </c>
      <c r="I21" s="68"/>
      <c r="J21" s="42" t="str">
        <f>F20</f>
        <v>°C</v>
      </c>
    </row>
    <row r="22" spans="1:13" s="12" customFormat="1" ht="13.15" customHeight="1" x14ac:dyDescent="0.25">
      <c r="A22" s="71"/>
      <c r="B22" s="30"/>
      <c r="C22" s="144" t="str">
        <f>VLOOKUP('General Informations'!$E$2,lookups!$A$7:$HX$11,49)</f>
        <v>min-max design</v>
      </c>
      <c r="D22" s="145"/>
      <c r="E22" s="72"/>
      <c r="F22" s="43" t="str">
        <f>F20</f>
        <v>°C</v>
      </c>
      <c r="G22" s="72"/>
      <c r="H22" s="43" t="str">
        <f>F20</f>
        <v>°C</v>
      </c>
      <c r="I22" s="72"/>
      <c r="J22" s="43" t="str">
        <f>F20</f>
        <v>°C</v>
      </c>
    </row>
    <row r="23" spans="1:13" ht="13.15" customHeight="1" x14ac:dyDescent="0.25">
      <c r="A23" s="169" t="str">
        <f>VLOOKUP('General Informations'!$E$2,lookups!$A$7:$HX$11,ROW())</f>
        <v>Gas pressure</v>
      </c>
      <c r="B23" s="170"/>
      <c r="C23" s="170"/>
      <c r="D23" s="28" t="str">
        <f>VLOOKUP('General Informations'!$E$2,lookups!$A$7:$HX$11,47)</f>
        <v>min-max</v>
      </c>
      <c r="E23" s="68"/>
      <c r="F23" s="42" t="s">
        <v>41</v>
      </c>
      <c r="G23" s="68"/>
      <c r="H23" s="42" t="str">
        <f>F23</f>
        <v>[unit]</v>
      </c>
      <c r="I23" s="68"/>
      <c r="J23" s="42" t="str">
        <f>H23</f>
        <v>[unit]</v>
      </c>
    </row>
    <row r="24" spans="1:13" ht="13.15" customHeight="1" x14ac:dyDescent="0.25">
      <c r="A24" s="167"/>
      <c r="B24" s="168"/>
      <c r="C24" s="168"/>
      <c r="D24" s="28" t="str">
        <f>VLOOKUP('General Informations'!$E$2,lookups!$A$7:$HX$11,48)</f>
        <v>typical</v>
      </c>
      <c r="E24" s="68"/>
      <c r="F24" s="42" t="str">
        <f>F23</f>
        <v>[unit]</v>
      </c>
      <c r="G24" s="68"/>
      <c r="H24" s="42" t="str">
        <f t="shared" ref="H24:H25" si="0">F24</f>
        <v>[unit]</v>
      </c>
      <c r="I24" s="68"/>
      <c r="J24" s="42" t="str">
        <f>H24</f>
        <v>[unit]</v>
      </c>
    </row>
    <row r="25" spans="1:13" s="12" customFormat="1" ht="13.15" customHeight="1" x14ac:dyDescent="0.25">
      <c r="A25" s="71"/>
      <c r="B25" s="30"/>
      <c r="C25" s="144" t="str">
        <f>VLOOKUP('General Informations'!$E$2,lookups!$A$7:$HX$11,49)</f>
        <v>min-max design</v>
      </c>
      <c r="D25" s="145"/>
      <c r="E25" s="72"/>
      <c r="F25" s="42" t="str">
        <f>F23</f>
        <v>[unit]</v>
      </c>
      <c r="G25" s="72"/>
      <c r="H25" s="42" t="str">
        <f t="shared" si="0"/>
        <v>[unit]</v>
      </c>
      <c r="I25" s="72"/>
      <c r="J25" s="42" t="str">
        <f>H25</f>
        <v>[unit]</v>
      </c>
    </row>
    <row r="26" spans="1:13" ht="13.9" customHeight="1" x14ac:dyDescent="0.25">
      <c r="A26" s="158" t="str">
        <f>VLOOKUP('General Informations'!$E$2,lookups!$A$7:$HX$11,ROW())</f>
        <v>Measurement path length</v>
      </c>
      <c r="B26" s="159"/>
      <c r="C26" s="159"/>
      <c r="D26" s="160"/>
      <c r="E26" s="70"/>
      <c r="F26" s="44" t="s">
        <v>40</v>
      </c>
      <c r="G26" s="70"/>
      <c r="H26" s="44" t="str">
        <f>F26</f>
        <v>m</v>
      </c>
      <c r="I26" s="70"/>
      <c r="J26" s="44" t="str">
        <f>F26</f>
        <v>m</v>
      </c>
    </row>
    <row r="27" spans="1:13" s="4" customFormat="1" ht="13.9" customHeight="1" x14ac:dyDescent="0.25">
      <c r="A27" s="169" t="str">
        <f>VLOOKUP('General Informations'!$E$2,lookups!$A$7:$HX$11,ROW())</f>
        <v>Dust load</v>
      </c>
      <c r="B27" s="177"/>
      <c r="C27" s="177"/>
      <c r="D27" s="32" t="str">
        <f>VLOOKUP('General Informations'!$E$2,lookups!$A$7:$HX$11,47)</f>
        <v>min-max</v>
      </c>
      <c r="E27" s="59"/>
      <c r="F27" s="45" t="s">
        <v>524</v>
      </c>
      <c r="G27" s="59"/>
      <c r="H27" s="45" t="str">
        <f>F27</f>
        <v>mg/Nm³</v>
      </c>
      <c r="I27" s="59"/>
      <c r="J27" s="45" t="str">
        <f>F27</f>
        <v>mg/Nm³</v>
      </c>
    </row>
    <row r="28" spans="1:13" ht="13.15" customHeight="1" x14ac:dyDescent="0.25">
      <c r="A28" s="148"/>
      <c r="B28" s="149"/>
      <c r="C28" s="149"/>
      <c r="D28" s="33" t="str">
        <f>VLOOKUP('General Informations'!$E$2,lookups!$A$7:$HX$11,48)</f>
        <v>typical</v>
      </c>
      <c r="E28" s="60"/>
      <c r="F28" s="46" t="str">
        <f>F27</f>
        <v>mg/Nm³</v>
      </c>
      <c r="G28" s="60"/>
      <c r="H28" s="46" t="str">
        <f>F28</f>
        <v>mg/Nm³</v>
      </c>
      <c r="I28" s="60"/>
      <c r="J28" s="46" t="str">
        <f>F28</f>
        <v>mg/Nm³</v>
      </c>
    </row>
    <row r="29" spans="1:13" ht="13.15" customHeight="1" x14ac:dyDescent="0.25">
      <c r="A29" s="158" t="str">
        <f>VLOOKUP('General Informations'!$E$2,lookups!$A$7:$HX$11,ROW())</f>
        <v>Desired response time</v>
      </c>
      <c r="B29" s="159"/>
      <c r="C29" s="159"/>
      <c r="D29" s="160"/>
      <c r="E29" s="70"/>
      <c r="F29" s="31" t="s">
        <v>45</v>
      </c>
      <c r="G29" s="70"/>
      <c r="H29" s="31" t="s">
        <v>45</v>
      </c>
      <c r="I29" s="70"/>
      <c r="J29" s="31" t="s">
        <v>45</v>
      </c>
    </row>
    <row r="30" spans="1:13" ht="13.15" customHeight="1" x14ac:dyDescent="0.25">
      <c r="A30" s="158" t="str">
        <f>VLOOKUP('General Informations'!$E$2,lookups!$A$7:$HX$11,ROW())</f>
        <v>Harzardous sensor environment</v>
      </c>
      <c r="B30" s="159"/>
      <c r="C30" s="159"/>
      <c r="D30" s="160"/>
      <c r="E30" s="156"/>
      <c r="F30" s="157"/>
      <c r="G30" s="156"/>
      <c r="H30" s="157"/>
      <c r="I30" s="156"/>
      <c r="J30" s="157"/>
      <c r="M30" s="3"/>
    </row>
    <row r="31" spans="1:13" ht="13.15" customHeight="1" x14ac:dyDescent="0.25">
      <c r="A31" s="171" t="str">
        <f>VLOOKUP('General Informations'!$E$2,lookups!$A$7:$HX$11,ROW())</f>
        <v>Purging media available on-site</v>
      </c>
      <c r="B31" s="172"/>
      <c r="C31" s="175" t="s">
        <v>220</v>
      </c>
      <c r="D31" s="176"/>
      <c r="E31" s="154"/>
      <c r="F31" s="155"/>
      <c r="G31" s="154"/>
      <c r="H31" s="155"/>
      <c r="I31" s="154"/>
      <c r="J31" s="155"/>
      <c r="M31" s="3"/>
    </row>
    <row r="32" spans="1:13" ht="13.15" customHeight="1" x14ac:dyDescent="0.25">
      <c r="A32" s="173"/>
      <c r="B32" s="174"/>
      <c r="C32" s="150" t="str">
        <f>VLOOKUP('General Informations'!$E$2,lookups!$A$37:$HX$38,26)</f>
        <v>Instrument air</v>
      </c>
      <c r="D32" s="151"/>
      <c r="E32" s="152"/>
      <c r="F32" s="153"/>
      <c r="G32" s="152"/>
      <c r="H32" s="153"/>
      <c r="I32" s="152"/>
      <c r="J32" s="153"/>
    </row>
    <row r="33" spans="1:10" ht="13.15" customHeight="1" x14ac:dyDescent="0.25">
      <c r="A33" s="173"/>
      <c r="B33" s="174"/>
      <c r="C33" s="150" t="str">
        <f>VLOOKUP('General Informations'!$E$2,lookups!$A$37:$HX$38,27)</f>
        <v>Air blower</v>
      </c>
      <c r="D33" s="151"/>
      <c r="E33" s="152"/>
      <c r="F33" s="153"/>
      <c r="G33" s="152"/>
      <c r="H33" s="153"/>
      <c r="I33" s="152"/>
      <c r="J33" s="153"/>
    </row>
    <row r="34" spans="1:10" ht="13.15" customHeight="1" x14ac:dyDescent="0.25">
      <c r="A34" s="34"/>
      <c r="B34" s="35"/>
      <c r="C34" s="150" t="str">
        <f>VLOOKUP('General Informations'!$E$2,lookups!$A$37:$HX$38,28)</f>
        <v>Steam</v>
      </c>
      <c r="D34" s="151"/>
      <c r="E34" s="152"/>
      <c r="F34" s="153"/>
      <c r="G34" s="152"/>
      <c r="H34" s="153"/>
      <c r="I34" s="152"/>
      <c r="J34" s="153"/>
    </row>
    <row r="35" spans="1:10" s="20" customFormat="1" ht="13.15" customHeight="1" x14ac:dyDescent="0.25">
      <c r="A35" s="36"/>
      <c r="B35" s="37"/>
      <c r="C35" s="144" t="str">
        <f>VLOOKUP('General Informations'!$E$2,lookups!$A$7:$HX$11,54)</f>
        <v>preferably</v>
      </c>
      <c r="D35" s="145"/>
      <c r="E35" s="82"/>
      <c r="F35" s="83"/>
      <c r="G35" s="82"/>
      <c r="H35" s="83"/>
      <c r="I35" s="82"/>
      <c r="J35" s="83"/>
    </row>
    <row r="36" spans="1:10" ht="13.15" customHeight="1" x14ac:dyDescent="0.25">
      <c r="A36" s="158" t="str">
        <f>VLOOKUP('General Informations'!$E$2,lookups!$A$7:$HX$11,ROW())</f>
        <v>Suitable purging tube materials</v>
      </c>
      <c r="B36" s="159"/>
      <c r="C36" s="159"/>
      <c r="D36" s="160"/>
      <c r="E36" s="74" t="s">
        <v>52</v>
      </c>
      <c r="F36" s="73"/>
      <c r="G36" s="74"/>
      <c r="H36" s="73"/>
      <c r="I36" s="74"/>
      <c r="J36" s="73"/>
    </row>
    <row r="37" spans="1:10" ht="13.15" customHeight="1" x14ac:dyDescent="0.25">
      <c r="A37" s="158" t="str">
        <f>VLOOKUP('General Informations'!$E$2,lookups!$A$7:$HX$11,ROW())</f>
        <v>Required purging tube length</v>
      </c>
      <c r="B37" s="159"/>
      <c r="C37" s="159"/>
      <c r="D37" s="160"/>
      <c r="E37" s="156" t="s">
        <v>52</v>
      </c>
      <c r="F37" s="157"/>
      <c r="G37" s="156"/>
      <c r="H37" s="157"/>
      <c r="I37" s="156"/>
      <c r="J37" s="157"/>
    </row>
    <row r="38" spans="1:10" ht="13.15" customHeight="1" x14ac:dyDescent="0.25">
      <c r="A38" s="158" t="str">
        <f>VLOOKUP('General Informations'!$E$2,lookups!$A$7:$HX$11,ROW())</f>
        <v>Flange type</v>
      </c>
      <c r="B38" s="159"/>
      <c r="C38" s="159"/>
      <c r="D38" s="160"/>
      <c r="E38" s="156" t="s">
        <v>52</v>
      </c>
      <c r="F38" s="157"/>
      <c r="G38" s="156"/>
      <c r="H38" s="157"/>
      <c r="I38" s="156"/>
      <c r="J38" s="157"/>
    </row>
    <row r="39" spans="1:10" ht="13.15" customHeight="1" x14ac:dyDescent="0.25">
      <c r="A39" s="158" t="str">
        <f>VLOOKUP('General Informations'!$E$2,lookups!$A$7:$HX$11,ROW())</f>
        <v>EN 15267 / QAL1 requirement?</v>
      </c>
      <c r="B39" s="159"/>
      <c r="C39" s="159"/>
      <c r="D39" s="160"/>
      <c r="E39" s="156" t="s">
        <v>52</v>
      </c>
      <c r="F39" s="157"/>
      <c r="G39" s="156" t="s">
        <v>52</v>
      </c>
      <c r="H39" s="157"/>
      <c r="I39" s="156" t="s">
        <v>52</v>
      </c>
      <c r="J39" s="157"/>
    </row>
    <row r="40" spans="1:10" ht="13.15" customHeight="1" x14ac:dyDescent="0.25">
      <c r="A40" s="158" t="str">
        <f>VLOOKUP('General Informations'!$E$2,lookups!$A$7:$HX$11,ROW())</f>
        <v>Hybrid cable length [meter]</v>
      </c>
      <c r="B40" s="159"/>
      <c r="C40" s="159"/>
      <c r="D40" s="160"/>
      <c r="E40" s="74"/>
      <c r="F40" s="73"/>
      <c r="G40" s="74"/>
      <c r="H40" s="73"/>
      <c r="I40" s="74"/>
      <c r="J40" s="73"/>
    </row>
    <row r="41" spans="1:10" ht="13.15" customHeight="1" x14ac:dyDescent="0.25">
      <c r="A41" s="158" t="str">
        <f>VLOOKUP('General Informations'!$E$2,lookups!$A$7:$HX$11,ROW())</f>
        <v>Loop cable length [meter]</v>
      </c>
      <c r="B41" s="159"/>
      <c r="C41" s="159"/>
      <c r="D41" s="160"/>
      <c r="E41" s="74"/>
      <c r="F41" s="73"/>
      <c r="G41" s="74"/>
      <c r="H41" s="73"/>
      <c r="I41" s="74"/>
      <c r="J41" s="73"/>
    </row>
    <row r="42" spans="1:10" ht="13.15" customHeight="1" x14ac:dyDescent="0.25">
      <c r="A42" s="158" t="str">
        <f>VLOOKUP('General Informations'!$E$2,lookups!$A$7:$HX$11,ROW())</f>
        <v>User documentation language</v>
      </c>
      <c r="B42" s="159"/>
      <c r="C42" s="159"/>
      <c r="D42" s="160"/>
      <c r="E42" s="156"/>
      <c r="F42" s="194"/>
      <c r="G42" s="194"/>
      <c r="H42" s="194"/>
      <c r="I42" s="194"/>
      <c r="J42" s="157"/>
    </row>
    <row r="43" spans="1:10" ht="13.15" customHeight="1" x14ac:dyDescent="0.25">
      <c r="A43" s="15"/>
      <c r="B43" s="15"/>
      <c r="C43" s="15"/>
      <c r="D43" s="15"/>
      <c r="E43" s="15"/>
      <c r="F43" s="15"/>
      <c r="G43" s="15"/>
      <c r="H43" s="15"/>
      <c r="I43" s="15"/>
      <c r="J43" s="15"/>
    </row>
    <row r="44" spans="1:10" x14ac:dyDescent="0.25">
      <c r="A44" s="15"/>
      <c r="B44" s="15"/>
      <c r="C44" s="15"/>
      <c r="D44" s="15"/>
      <c r="E44" s="15"/>
      <c r="F44" s="39"/>
      <c r="G44" s="15"/>
      <c r="H44" s="15"/>
      <c r="I44" s="15"/>
      <c r="J44" s="15"/>
    </row>
    <row r="45" spans="1:10" x14ac:dyDescent="0.25">
      <c r="A45" s="15"/>
      <c r="B45" s="15"/>
      <c r="C45" s="15"/>
      <c r="D45" s="15"/>
      <c r="E45" s="15"/>
      <c r="F45" s="39"/>
      <c r="G45" s="15"/>
      <c r="H45" s="15"/>
      <c r="I45" s="15"/>
      <c r="J45" s="15"/>
    </row>
  </sheetData>
  <sheetProtection algorithmName="SHA-512" hashValue="vESYg3JVDcWhdmRMJWuAy++iZOiPGtySoC24D5iKiTtmm82TTjcFsBSbMyN+8WRvdnYe822BTu2rNz+on/q2lQ==" saltValue="tjQmvn38XHa3Xg7S3B9Ozw==" spinCount="100000" sheet="1" selectLockedCells="1"/>
  <protectedRanges>
    <protectedRange sqref="E7:J41" name="Questionnaire LDS6"/>
  </protectedRanges>
  <mergeCells count="78">
    <mergeCell ref="G38:H38"/>
    <mergeCell ref="G39:H39"/>
    <mergeCell ref="I30:J30"/>
    <mergeCell ref="I38:J38"/>
    <mergeCell ref="I39:J39"/>
    <mergeCell ref="E38:F38"/>
    <mergeCell ref="E39:F39"/>
    <mergeCell ref="E42:J42"/>
    <mergeCell ref="I31:J31"/>
    <mergeCell ref="E30:F30"/>
    <mergeCell ref="E34:F34"/>
    <mergeCell ref="I34:J34"/>
    <mergeCell ref="E37:F37"/>
    <mergeCell ref="G37:H37"/>
    <mergeCell ref="G31:H31"/>
    <mergeCell ref="I32:J32"/>
    <mergeCell ref="I33:J33"/>
    <mergeCell ref="I37:J37"/>
    <mergeCell ref="G32:H32"/>
    <mergeCell ref="G33:H33"/>
    <mergeCell ref="G34:H34"/>
    <mergeCell ref="A8:D8"/>
    <mergeCell ref="A9:D9"/>
    <mergeCell ref="E8:J8"/>
    <mergeCell ref="A20:C20"/>
    <mergeCell ref="A12:D12"/>
    <mergeCell ref="A11:D11"/>
    <mergeCell ref="A15:D15"/>
    <mergeCell ref="A16:D16"/>
    <mergeCell ref="I11:J11"/>
    <mergeCell ref="I17:J17"/>
    <mergeCell ref="A18:D18"/>
    <mergeCell ref="A19:D19"/>
    <mergeCell ref="E11:F11"/>
    <mergeCell ref="G11:H11"/>
    <mergeCell ref="E17:F17"/>
    <mergeCell ref="E14:J14"/>
    <mergeCell ref="E1:J1"/>
    <mergeCell ref="A5:J5"/>
    <mergeCell ref="A1:D1"/>
    <mergeCell ref="A6:D6"/>
    <mergeCell ref="A7:D7"/>
    <mergeCell ref="I6:J6"/>
    <mergeCell ref="E6:F6"/>
    <mergeCell ref="B4:J4"/>
    <mergeCell ref="G6:H6"/>
    <mergeCell ref="A36:D36"/>
    <mergeCell ref="A37:D37"/>
    <mergeCell ref="A29:D29"/>
    <mergeCell ref="A10:D10"/>
    <mergeCell ref="A13:D13"/>
    <mergeCell ref="A14:D14"/>
    <mergeCell ref="A21:C21"/>
    <mergeCell ref="A23:C23"/>
    <mergeCell ref="A24:C24"/>
    <mergeCell ref="A17:D17"/>
    <mergeCell ref="A31:B33"/>
    <mergeCell ref="A26:D26"/>
    <mergeCell ref="A30:D30"/>
    <mergeCell ref="C31:D31"/>
    <mergeCell ref="C32:D32"/>
    <mergeCell ref="A27:C27"/>
    <mergeCell ref="A38:D38"/>
    <mergeCell ref="A39:D39"/>
    <mergeCell ref="A40:D40"/>
    <mergeCell ref="A41:D41"/>
    <mergeCell ref="A42:D42"/>
    <mergeCell ref="C35:D35"/>
    <mergeCell ref="G17:H17"/>
    <mergeCell ref="A28:C28"/>
    <mergeCell ref="C33:D33"/>
    <mergeCell ref="C34:D34"/>
    <mergeCell ref="E32:F32"/>
    <mergeCell ref="E33:F33"/>
    <mergeCell ref="E31:F31"/>
    <mergeCell ref="G30:H30"/>
    <mergeCell ref="C22:D22"/>
    <mergeCell ref="C25:D25"/>
  </mergeCells>
  <pageMargins left="0.69291338582677175" right="0.57480314960629919" top="0.75196850393700787" bottom="0.75196850393700787" header="0.29921259842519687" footer="0.29921259842519687"/>
  <pageSetup paperSize="9" orientation="portrait" r:id="rId1"/>
  <headerFooter>
    <oddHeader xml:space="preserve">&amp;C </oddHeader>
    <oddFooter>&amp;L&amp;9
&amp;C&amp;9Please note further specifications in catalog. / Bitte weitere Spezifikationen dem Katalog entnehmen.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ADE3BF08-2D9A-4036-ADAE-DFD073A5F79A}">
            <xm:f>NOT(ISERROR(SEARCH(VLOOKUP('General Informations'!$E$2,lookups!$A$37:$HX$38,47),E7)))</xm:f>
            <xm:f>VLOOKUP('General Informations'!$E$2,lookups!$A$37:$HX$38,47)</xm:f>
            <x14:dxf>
              <font>
                <color rgb="FFFF0000"/>
              </font>
            </x14:dxf>
          </x14:cfRule>
          <xm:sqref>E7 G7 I7</xm:sqref>
        </x14:conditionalFormatting>
      </x14:conditionalFormattings>
    </ext>
    <ext xmlns:x14="http://schemas.microsoft.com/office/spreadsheetml/2009/9/main" uri="{CCE6A557-97BC-4b89-ADB6-D9C93CAAB3DF}">
      <x14:dataValidations xmlns:xm="http://schemas.microsoft.com/office/excel/2006/main" count="21">
        <x14:dataValidation type="list" allowBlank="1" showInputMessage="1" showErrorMessage="1" xr:uid="{00000000-0002-0000-0100-000000000000}">
          <x14:formula1>
            <xm:f>lookups!$B$45:$B$51</xm:f>
          </x14:formula1>
          <xm:sqref>F23:F25 H23:H25 J23:J25</xm:sqref>
        </x14:dataValidation>
        <x14:dataValidation type="list" allowBlank="1" showInputMessage="1" showErrorMessage="1" xr:uid="{00000000-0002-0000-0100-000001000000}">
          <x14:formula1>
            <xm:f>lookups!$G$45:$G$48</xm:f>
          </x14:formula1>
          <xm:sqref>E37 G37 I37</xm:sqref>
        </x14:dataValidation>
        <x14:dataValidation type="list" allowBlank="1" showInputMessage="1" showErrorMessage="1" xr:uid="{00000000-0002-0000-0100-000002000000}">
          <x14:formula1>
            <xm:f>lookups!$H$45:$H$48</xm:f>
          </x14:formula1>
          <xm:sqref>E38:J38</xm:sqref>
        </x14:dataValidation>
        <x14:dataValidation type="list" allowBlank="1" showInputMessage="1" showErrorMessage="1" xr:uid="{00000000-0002-0000-0100-000003000000}">
          <x14:formula1>
            <xm:f>lookups!$J$45:$J$51</xm:f>
          </x14:formula1>
          <xm:sqref>E40 G40 I40</xm:sqref>
        </x14:dataValidation>
        <x14:dataValidation type="list" allowBlank="1" showInputMessage="1" showErrorMessage="1" xr:uid="{00000000-0002-0000-0100-000004000000}">
          <x14:formula1>
            <xm:f>lookups!$K$45:$K$49</xm:f>
          </x14:formula1>
          <xm:sqref>E41 G41 I41</xm:sqref>
        </x14:dataValidation>
        <x14:dataValidation type="list" allowBlank="1" showInputMessage="1" showErrorMessage="1" xr:uid="{00000000-0002-0000-0100-000005000000}">
          <x14:formula1>
            <xm:f>lookups!$L$45:$L$50</xm:f>
          </x14:formula1>
          <xm:sqref>E42:J42</xm:sqref>
        </x14:dataValidation>
        <x14:dataValidation type="list" allowBlank="1" showInputMessage="1" showErrorMessage="1" xr:uid="{00000000-0002-0000-0100-000006000000}">
          <x14:formula1>
            <xm:f>lookups!$M$45:$M$48</xm:f>
          </x14:formula1>
          <xm:sqref>E11:J11 E17:J17</xm:sqref>
        </x14:dataValidation>
        <x14:dataValidation type="list" allowBlank="1" showInputMessage="1" showErrorMessage="1" xr:uid="{00000000-0002-0000-0100-000007000000}">
          <x14:formula1>
            <xm:f>lookups!$C$44:$C$47</xm:f>
          </x14:formula1>
          <xm:sqref>E31:J34</xm:sqref>
        </x14:dataValidation>
        <x14:dataValidation type="list" allowBlank="1" showInputMessage="1" showErrorMessage="1" xr:uid="{00000000-0002-0000-0100-000008000000}">
          <x14:formula1>
            <xm:f>lookups!$A$45:$A$47</xm:f>
          </x14:formula1>
          <xm:sqref>F18 H18 J9:J10 H9:H10 J18</xm:sqref>
        </x14:dataValidation>
        <x14:dataValidation type="list" allowBlank="1" showInputMessage="1" showErrorMessage="1" xr:uid="{00000000-0002-0000-0100-000009000000}">
          <x14:formula1>
            <xm:f>lookups!$V$46:$V$48</xm:f>
          </x14:formula1>
          <xm:sqref>F20:F22 H20:H22 J20:J22</xm:sqref>
        </x14:dataValidation>
        <x14:dataValidation type="list" allowBlank="1" showInputMessage="1" showErrorMessage="1" xr:uid="{00000000-0002-0000-0100-00000A000000}">
          <x14:formula1>
            <xm:f>lookups!$W$46:$W$47</xm:f>
          </x14:formula1>
          <xm:sqref>F26 H26 J26</xm:sqref>
        </x14:dataValidation>
        <x14:dataValidation type="list" allowBlank="1" showInputMessage="1" showErrorMessage="1" xr:uid="{00000000-0002-0000-0100-00000B000000}">
          <x14:formula1>
            <xm:f>lookups!$X$46:$X$49</xm:f>
          </x14:formula1>
          <xm:sqref>F27:F28 H27:H28 J27:J28</xm:sqref>
        </x14:dataValidation>
        <x14:dataValidation type="list" allowBlank="1" showInputMessage="1" showErrorMessage="1" xr:uid="{00000000-0002-0000-0100-00000C000000}">
          <x14:formula1>
            <xm:f>lookups!$T$45:$T$47</xm:f>
          </x14:formula1>
          <xm:sqref>E39:J39</xm:sqref>
        </x14:dataValidation>
        <x14:dataValidation type="list" allowBlank="1" showInputMessage="1" showErrorMessage="1" xr:uid="{00000000-0002-0000-0100-00000D000000}">
          <x14:formula1>
            <xm:f>lookups!$F$45:$F$48</xm:f>
          </x14:formula1>
          <xm:sqref>E36 G36 I36</xm:sqref>
        </x14:dataValidation>
        <x14:dataValidation type="list" allowBlank="1" showInputMessage="1" showErrorMessage="1" xr:uid="{00000000-0002-0000-0100-00000E000000}">
          <x14:formula1>
            <xm:f>lookups!$AD$44:$AD$57</xm:f>
          </x14:formula1>
          <xm:sqref>I7</xm:sqref>
        </x14:dataValidation>
        <x14:dataValidation type="list" allowBlank="1" showInputMessage="1" showErrorMessage="1" xr:uid="{00000000-0002-0000-0100-00000F000000}">
          <x14:formula1>
            <xm:f>lookups!$Z$45:$Z$50</xm:f>
          </x14:formula1>
          <xm:sqref>E35 G35 I35</xm:sqref>
        </x14:dataValidation>
        <x14:dataValidation type="list" allowBlank="1" showInputMessage="1" showErrorMessage="1" xr:uid="{00000000-0002-0000-0100-000010000000}">
          <x14:formula1>
            <xm:f>lookups!$AB$44:$AB$57</xm:f>
          </x14:formula1>
          <xm:sqref>E7</xm:sqref>
        </x14:dataValidation>
        <x14:dataValidation type="list" allowBlank="1" showInputMessage="1" showErrorMessage="1" xr:uid="{00000000-0002-0000-0100-000011000000}">
          <x14:formula1>
            <xm:f>lookups!$AC$44:$AC$57</xm:f>
          </x14:formula1>
          <xm:sqref>G7</xm:sqref>
        </x14:dataValidation>
        <x14:dataValidation type="list" allowBlank="1" showInputMessage="1" showErrorMessage="1" xr:uid="{00000000-0002-0000-0100-000012000000}">
          <x14:formula1>
            <xm:f>lookups!$A$45:$A$48</xm:f>
          </x14:formula1>
          <xm:sqref>F13 F19 H19 J19 H13 J13</xm:sqref>
        </x14:dataValidation>
        <x14:dataValidation type="list" allowBlank="1" showInputMessage="1" showErrorMessage="1" xr:uid="{00000000-0002-0000-0100-000013000000}">
          <x14:formula1>
            <xm:f>lookups!$E$45:$E$49</xm:f>
          </x14:formula1>
          <xm:sqref>E30:J30</xm:sqref>
        </x14:dataValidation>
        <x14:dataValidation type="list" allowBlank="1" showInputMessage="1" showErrorMessage="1" xr:uid="{B9E6814F-FA63-4052-939E-A460DB3AD2F3}">
          <x14:formula1>
            <xm:f>lookups!$AJ$45:$AJ$49</xm:f>
          </x14:formula1>
          <xm:sqref>F9:F10 F12 H12 J12 F15:F16 H15:H16 J15:J16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40"/>
  <sheetViews>
    <sheetView showGridLines="0" showRuler="0" view="pageLayout" topLeftCell="A4" zoomScale="115" zoomScaleNormal="100" zoomScaleSheetLayoutView="100" zoomScalePageLayoutView="115" workbookViewId="0">
      <selection activeCell="E18" sqref="E18:F18"/>
    </sheetView>
  </sheetViews>
  <sheetFormatPr defaultColWidth="8.81640625" defaultRowHeight="12.5" x14ac:dyDescent="0.25"/>
  <cols>
    <col min="1" max="1" width="0.26953125" style="5" customWidth="1"/>
    <col min="2" max="2" width="11.81640625" style="5" customWidth="1"/>
    <col min="3" max="3" width="11.26953125" style="5" customWidth="1"/>
    <col min="4" max="4" width="8.81640625" style="5" customWidth="1"/>
    <col min="5" max="5" width="17.26953125" style="5" customWidth="1"/>
    <col min="6" max="6" width="23.7265625" style="5" customWidth="1"/>
    <col min="7" max="7" width="9.7265625" style="5" customWidth="1"/>
    <col min="8" max="8" width="3.26953125" style="5" customWidth="1"/>
    <col min="9" max="16384" width="8.81640625" style="5"/>
  </cols>
  <sheetData>
    <row r="1" spans="1:8" ht="41.5" customHeight="1" x14ac:dyDescent="0.25">
      <c r="A1" s="182"/>
      <c r="B1" s="182"/>
      <c r="C1" s="182"/>
      <c r="D1" s="182"/>
      <c r="E1" s="178" t="str">
        <f>VLOOKUP('General Informations'!$E$2,lookups!$A$37:$B$38,2)</f>
        <v>Configuring questionnaire for in-situ process analysis</v>
      </c>
      <c r="F1" s="178"/>
      <c r="G1" s="178"/>
      <c r="H1" s="15"/>
    </row>
    <row r="2" spans="1:8" ht="13.15" customHeight="1" x14ac:dyDescent="0.25">
      <c r="A2" s="14"/>
      <c r="B2" s="14"/>
      <c r="C2" s="14"/>
      <c r="D2" s="14"/>
      <c r="E2" s="14"/>
      <c r="F2" s="15"/>
      <c r="G2" s="15"/>
      <c r="H2" s="15"/>
    </row>
    <row r="3" spans="1:8" ht="16.149999999999999" customHeight="1" x14ac:dyDescent="0.25">
      <c r="A3" s="16" t="str">
        <f>VLOOKUP('General Informations'!$E$2,lookups!$A$13:$HX$17,ROW())</f>
        <v>Sitrans SL: Explanatory drawing of requested information and essential application information</v>
      </c>
      <c r="B3" s="16"/>
      <c r="C3" s="16"/>
      <c r="D3" s="16"/>
      <c r="E3" s="16"/>
      <c r="F3" s="15"/>
      <c r="G3" s="15"/>
      <c r="H3" s="15"/>
    </row>
    <row r="4" spans="1:8" ht="183.75" customHeight="1" x14ac:dyDescent="0.25">
      <c r="A4" s="47" t="str">
        <f>VLOOKUP('General Informations'!$E$2,lookups!$A$13:$HX$17,ROW())</f>
        <v>SISL_EN</v>
      </c>
      <c r="B4" s="190"/>
      <c r="C4" s="190"/>
      <c r="D4" s="190"/>
      <c r="E4" s="190"/>
      <c r="F4" s="190"/>
      <c r="G4" s="190"/>
      <c r="H4" s="15"/>
    </row>
    <row r="5" spans="1:8" ht="13" x14ac:dyDescent="0.3">
      <c r="A5" s="214" t="str">
        <f>VLOOKUP('General Informations'!$E$2,lookups!$A$13:$HX$17,ROW())</f>
        <v>Analytical information and sensor demands</v>
      </c>
      <c r="B5" s="214"/>
      <c r="C5" s="214"/>
      <c r="D5" s="214"/>
      <c r="E5" s="214"/>
      <c r="F5" s="214"/>
      <c r="G5" s="214"/>
      <c r="H5" s="15"/>
    </row>
    <row r="6" spans="1:8" x14ac:dyDescent="0.25">
      <c r="A6" s="215" t="str">
        <f>VLOOKUP('General Informations'!$E$2,lookups!$A$13:$HX$17,ROW())</f>
        <v>Measured Component(s)</v>
      </c>
      <c r="B6" s="215"/>
      <c r="C6" s="215"/>
      <c r="D6" s="215"/>
      <c r="E6" s="198"/>
      <c r="F6" s="199"/>
      <c r="G6" s="200"/>
      <c r="H6" s="15"/>
    </row>
    <row r="7" spans="1:8" x14ac:dyDescent="0.25">
      <c r="A7" s="213" t="str">
        <f>VLOOKUP('General Informations'!$E$2,lookups!$A$13:$HX$17,ROW())</f>
        <v>Measuring Range</v>
      </c>
      <c r="B7" s="213"/>
      <c r="C7" s="213"/>
      <c r="D7" s="213"/>
      <c r="E7" s="229"/>
      <c r="F7" s="230"/>
      <c r="G7" s="50" t="s">
        <v>41</v>
      </c>
      <c r="H7" s="15"/>
    </row>
    <row r="8" spans="1:8" x14ac:dyDescent="0.25">
      <c r="A8" s="213" t="str">
        <f>VLOOKUP('General Informations'!$E$2,lookups!$A$13:$HX$17,ROW())</f>
        <v>Typical concentration</v>
      </c>
      <c r="B8" s="213"/>
      <c r="C8" s="213"/>
      <c r="D8" s="213"/>
      <c r="E8" s="229"/>
      <c r="F8" s="230"/>
      <c r="G8" s="50" t="str">
        <f>G7</f>
        <v>[unit]</v>
      </c>
      <c r="H8" s="15"/>
    </row>
    <row r="9" spans="1:8" ht="13.15" customHeight="1" x14ac:dyDescent="0.25">
      <c r="A9" s="213" t="str">
        <f>VLOOKUP('General Informations'!$E$2,lookups!$A$13:$HX$17,ROW())</f>
        <v xml:space="preserve">Required repeatability </v>
      </c>
      <c r="B9" s="213"/>
      <c r="C9" s="213"/>
      <c r="D9" s="213"/>
      <c r="E9" s="229"/>
      <c r="F9" s="230"/>
      <c r="G9" s="50" t="s">
        <v>41</v>
      </c>
      <c r="H9" s="15"/>
    </row>
    <row r="10" spans="1:8" x14ac:dyDescent="0.25">
      <c r="A10" s="161" t="str">
        <f>VLOOKUP('General Informations'!$E$2,lookups!$A$13:$HX$17,ROW())</f>
        <v>Type of measurement</v>
      </c>
      <c r="B10" s="162"/>
      <c r="C10" s="162"/>
      <c r="D10" s="163"/>
      <c r="E10" s="198"/>
      <c r="F10" s="199"/>
      <c r="G10" s="200"/>
      <c r="H10" s="15"/>
    </row>
    <row r="11" spans="1:8" x14ac:dyDescent="0.25">
      <c r="A11" s="161" t="str">
        <f>VLOOKUP('General Informations'!$E$2,lookups!$A$13:$HX$17,ROW())</f>
        <v>Threshold (if applicable)</v>
      </c>
      <c r="B11" s="162"/>
      <c r="C11" s="162"/>
      <c r="D11" s="163"/>
      <c r="E11" s="229"/>
      <c r="F11" s="230"/>
      <c r="G11" s="50" t="str">
        <f>G7</f>
        <v>[unit]</v>
      </c>
      <c r="H11" s="15"/>
    </row>
    <row r="12" spans="1:8" ht="13.15" customHeight="1" x14ac:dyDescent="0.25">
      <c r="A12" s="169" t="str">
        <f>VLOOKUP('General Informations'!$E$2,lookups!$A$13:$HX$17,ROW())</f>
        <v xml:space="preserve">Gas Temperature </v>
      </c>
      <c r="B12" s="177"/>
      <c r="C12" s="177"/>
      <c r="D12" s="27" t="str">
        <f>VLOOKUP('General Informations'!$E$2,lookups!$A$7:$HX$11,47)</f>
        <v>min-max</v>
      </c>
      <c r="E12" s="203"/>
      <c r="F12" s="204"/>
      <c r="G12" s="51" t="s">
        <v>42</v>
      </c>
      <c r="H12" s="15"/>
    </row>
    <row r="13" spans="1:8" ht="13.15" customHeight="1" x14ac:dyDescent="0.25">
      <c r="A13" s="202"/>
      <c r="B13" s="168"/>
      <c r="C13" s="168"/>
      <c r="D13" s="28" t="str">
        <f>VLOOKUP('General Informations'!$E$2,lookups!$A$7:$HX$11,48)</f>
        <v>typical</v>
      </c>
      <c r="E13" s="203"/>
      <c r="F13" s="204"/>
      <c r="G13" s="51" t="s">
        <v>42</v>
      </c>
      <c r="H13" s="15"/>
    </row>
    <row r="14" spans="1:8" s="12" customFormat="1" ht="13.15" customHeight="1" x14ac:dyDescent="0.25">
      <c r="A14" s="48"/>
      <c r="B14" s="30"/>
      <c r="C14" s="144" t="str">
        <f>VLOOKUP('General Informations'!$E$2,lookups!$A$7:$HX$11,49)</f>
        <v>min-max design</v>
      </c>
      <c r="D14" s="145"/>
      <c r="E14" s="211"/>
      <c r="F14" s="212"/>
      <c r="G14" s="52" t="str">
        <f>G12</f>
        <v>°C</v>
      </c>
      <c r="H14" s="15"/>
    </row>
    <row r="15" spans="1:8" ht="13.15" customHeight="1" x14ac:dyDescent="0.25">
      <c r="A15" s="169" t="str">
        <f>VLOOKUP('General Informations'!$E$2,lookups!$A$13:$HX$17,ROW())</f>
        <v xml:space="preserve">Gas pressure </v>
      </c>
      <c r="B15" s="177"/>
      <c r="C15" s="177"/>
      <c r="D15" s="27" t="str">
        <f>VLOOKUP('General Informations'!$E$2,lookups!$A$7:$HX$11,47)</f>
        <v>min-max</v>
      </c>
      <c r="E15" s="205"/>
      <c r="F15" s="206"/>
      <c r="G15" s="51" t="s">
        <v>41</v>
      </c>
      <c r="H15" s="15"/>
    </row>
    <row r="16" spans="1:8" ht="13.15" customHeight="1" x14ac:dyDescent="0.25">
      <c r="A16" s="167"/>
      <c r="B16" s="168"/>
      <c r="C16" s="168"/>
      <c r="D16" s="28" t="str">
        <f>VLOOKUP('General Informations'!$E$2,lookups!$A$7:$HX$11,48)</f>
        <v>typical</v>
      </c>
      <c r="E16" s="203"/>
      <c r="F16" s="204"/>
      <c r="G16" s="51" t="str">
        <f>G15</f>
        <v>[unit]</v>
      </c>
      <c r="H16" s="15"/>
    </row>
    <row r="17" spans="1:8" s="12" customFormat="1" ht="13.15" customHeight="1" x14ac:dyDescent="0.25">
      <c r="A17" s="29"/>
      <c r="B17" s="30"/>
      <c r="C17" s="144" t="str">
        <f>VLOOKUP('General Informations'!$E$2,lookups!$A$7:$HX$11,49)</f>
        <v>min-max design</v>
      </c>
      <c r="D17" s="145"/>
      <c r="E17" s="72"/>
      <c r="F17" s="75"/>
      <c r="G17" s="51" t="str">
        <f>G15</f>
        <v>[unit]</v>
      </c>
      <c r="H17" s="15"/>
    </row>
    <row r="18" spans="1:8" x14ac:dyDescent="0.25">
      <c r="A18" s="195" t="str">
        <f>VLOOKUP('General Informations'!$E$2,lookups!$A$13:$HX$17,ROW())</f>
        <v xml:space="preserve">Measurement path length </v>
      </c>
      <c r="B18" s="195"/>
      <c r="C18" s="195"/>
      <c r="D18" s="195"/>
      <c r="E18" s="207"/>
      <c r="F18" s="208"/>
      <c r="G18" s="63" t="s">
        <v>40</v>
      </c>
      <c r="H18" s="15"/>
    </row>
    <row r="19" spans="1:8" ht="13.15" customHeight="1" x14ac:dyDescent="0.25">
      <c r="A19" s="169" t="str">
        <f>VLOOKUP('General Informations'!$E$2,lookups!$A$13:$HX$17,ROW())</f>
        <v xml:space="preserve">Dust load </v>
      </c>
      <c r="B19" s="177"/>
      <c r="C19" s="177"/>
      <c r="D19" s="27" t="str">
        <f>VLOOKUP('General Informations'!$E$2,lookups!$A$7:$HX$11,47)</f>
        <v>min-max</v>
      </c>
      <c r="E19" s="209"/>
      <c r="F19" s="210"/>
      <c r="G19" s="64" t="s">
        <v>524</v>
      </c>
      <c r="H19" s="15"/>
    </row>
    <row r="20" spans="1:8" ht="13.15" customHeight="1" x14ac:dyDescent="0.25">
      <c r="A20" s="29"/>
      <c r="B20" s="30"/>
      <c r="C20" s="30"/>
      <c r="D20" s="49" t="str">
        <f>VLOOKUP('General Informations'!$E$2,lookups!$A$7:$HX$11,48)</f>
        <v>typical</v>
      </c>
      <c r="E20" s="196"/>
      <c r="F20" s="197"/>
      <c r="G20" s="65" t="str">
        <f>G19</f>
        <v>mg/Nm³</v>
      </c>
      <c r="H20" s="15"/>
    </row>
    <row r="21" spans="1:8" x14ac:dyDescent="0.25">
      <c r="A21" s="195" t="str">
        <f>VLOOKUP('General Informations'!$E$2,lookups!$A$13:$HX$17,ROW())</f>
        <v>Desired response time</v>
      </c>
      <c r="B21" s="195"/>
      <c r="C21" s="195"/>
      <c r="D21" s="195"/>
      <c r="E21" s="207"/>
      <c r="F21" s="208"/>
      <c r="G21" s="38" t="s">
        <v>45</v>
      </c>
      <c r="H21" s="15"/>
    </row>
    <row r="22" spans="1:8" x14ac:dyDescent="0.25">
      <c r="A22" s="195" t="str">
        <f>VLOOKUP('General Informations'!$E$2,lookups!$A$13:$HX$17,ROW())</f>
        <v>Harzardous sensor environment</v>
      </c>
      <c r="B22" s="195"/>
      <c r="C22" s="195"/>
      <c r="D22" s="195"/>
      <c r="E22" s="156"/>
      <c r="F22" s="194"/>
      <c r="G22" s="157"/>
      <c r="H22" s="15"/>
    </row>
    <row r="23" spans="1:8" ht="13.15" customHeight="1" x14ac:dyDescent="0.25">
      <c r="A23" s="171" t="str">
        <f>VLOOKUP('General Informations'!$E$2,lookups!$A$13:$HX$17,ROW())</f>
        <v>Purge medium</v>
      </c>
      <c r="B23" s="172"/>
      <c r="C23" s="219" t="str">
        <f>VLOOKUP('General Informations'!$E$2,lookups!$A$13:$HX$17,35)</f>
        <v>N2 available ?</v>
      </c>
      <c r="D23" s="220"/>
      <c r="E23" s="154"/>
      <c r="F23" s="228"/>
      <c r="G23" s="155"/>
      <c r="H23" s="15"/>
    </row>
    <row r="24" spans="1:8" s="20" customFormat="1" ht="13.15" customHeight="1" x14ac:dyDescent="0.25">
      <c r="A24" s="36"/>
      <c r="B24" s="221" t="str">
        <f>VLOOKUP('General Informations'!$E$2,lookups!$A$13:$HX$17,36)</f>
        <v>wished purging medium*</v>
      </c>
      <c r="C24" s="221"/>
      <c r="D24" s="222"/>
      <c r="E24" s="53"/>
      <c r="F24" s="223"/>
      <c r="G24" s="224"/>
      <c r="H24" s="15"/>
    </row>
    <row r="25" spans="1:8" x14ac:dyDescent="0.25">
      <c r="A25" s="195" t="str">
        <f>VLOOKUP('General Informations'!$E$2,lookups!$A$13:$HX$17,ROW())</f>
        <v>Suitable purging tube materials</v>
      </c>
      <c r="B25" s="195"/>
      <c r="C25" s="195"/>
      <c r="D25" s="195"/>
      <c r="E25" s="74"/>
      <c r="F25" s="194"/>
      <c r="G25" s="157"/>
      <c r="H25" s="15"/>
    </row>
    <row r="26" spans="1:8" x14ac:dyDescent="0.25">
      <c r="A26" s="195" t="str">
        <f>VLOOKUP('General Informations'!$E$2,lookups!$A$13:$HX$17,ROW())</f>
        <v>Required purging tube length</v>
      </c>
      <c r="B26" s="195"/>
      <c r="C26" s="195"/>
      <c r="D26" s="195"/>
      <c r="E26" s="74"/>
      <c r="F26" s="194"/>
      <c r="G26" s="157"/>
      <c r="H26" s="15"/>
    </row>
    <row r="27" spans="1:8" x14ac:dyDescent="0.25">
      <c r="A27" s="195" t="str">
        <f>VLOOKUP('General Informations'!$E$2,lookups!$A$13:$HX$17,ROW())</f>
        <v>Flange type</v>
      </c>
      <c r="B27" s="195"/>
      <c r="C27" s="195"/>
      <c r="D27" s="195"/>
      <c r="E27" s="156"/>
      <c r="F27" s="194"/>
      <c r="G27" s="157"/>
      <c r="H27" s="15"/>
    </row>
    <row r="28" spans="1:8" x14ac:dyDescent="0.25">
      <c r="A28" s="195" t="str">
        <f>VLOOKUP('General Informations'!$E$2,lookups!$A$13:$HX$17,ROW())</f>
        <v xml:space="preserve">Loop cable length </v>
      </c>
      <c r="B28" s="195"/>
      <c r="C28" s="195"/>
      <c r="D28" s="195"/>
      <c r="E28" s="156"/>
      <c r="F28" s="194"/>
      <c r="G28" s="157"/>
      <c r="H28" s="15"/>
    </row>
    <row r="29" spans="1:8" x14ac:dyDescent="0.25">
      <c r="A29" s="195" t="str">
        <f>VLOOKUP('General Informations'!$E$2,lookups!$A$13:$HX$17,ROW())</f>
        <v>Communication interface</v>
      </c>
      <c r="B29" s="195"/>
      <c r="C29" s="195"/>
      <c r="D29" s="195"/>
      <c r="E29" s="156"/>
      <c r="F29" s="194"/>
      <c r="G29" s="157"/>
      <c r="H29" s="15"/>
    </row>
    <row r="30" spans="1:8" x14ac:dyDescent="0.25">
      <c r="A30" s="195" t="str">
        <f>VLOOKUP('General Informations'!$E$2,lookups!$A$13:$HX$17,ROW())</f>
        <v>User documentation language</v>
      </c>
      <c r="B30" s="195"/>
      <c r="C30" s="195"/>
      <c r="D30" s="195"/>
      <c r="E30" s="156"/>
      <c r="F30" s="194"/>
      <c r="G30" s="157"/>
      <c r="H30" s="15"/>
    </row>
    <row r="31" spans="1:8" s="8" customFormat="1" x14ac:dyDescent="0.25">
      <c r="A31" s="195" t="str">
        <f>VLOOKUP('General Informations'!$E$2,lookups!$A$13:$HX$17,ROW())</f>
        <v>SIL requirement?</v>
      </c>
      <c r="B31" s="195"/>
      <c r="C31" s="195"/>
      <c r="D31" s="195"/>
      <c r="E31" s="156"/>
      <c r="F31" s="194"/>
      <c r="G31" s="157"/>
      <c r="H31" s="15"/>
    </row>
    <row r="32" spans="1:8" ht="41.5" customHeight="1" x14ac:dyDescent="0.25">
      <c r="A32" s="216" t="str">
        <f>VLOOKUP('General Informations'!$E$2,lookups!$A$13:$HX$17,ROW())</f>
        <v>Additional Remarks</v>
      </c>
      <c r="B32" s="217"/>
      <c r="C32" s="217"/>
      <c r="D32" s="218"/>
      <c r="E32" s="225"/>
      <c r="F32" s="226"/>
      <c r="G32" s="227"/>
      <c r="H32" s="15"/>
    </row>
    <row r="33" spans="1:8" x14ac:dyDescent="0.25">
      <c r="A33" s="15"/>
      <c r="B33" s="15"/>
      <c r="C33" s="15"/>
      <c r="D33" s="15"/>
      <c r="E33" s="15"/>
      <c r="F33" s="15"/>
      <c r="G33" s="15"/>
      <c r="H33" s="15"/>
    </row>
    <row r="34" spans="1:8" x14ac:dyDescent="0.25">
      <c r="A34" s="201" t="str">
        <f>VLOOKUP('General Informations'!$E$2,lookups!$A$13:$HX$17,39)</f>
        <v>*Caution: A purging medium containing O2 will decrease the measurement accuracy or will totally prevent the measurement, depending on setup and process conditions.</v>
      </c>
      <c r="B34" s="201"/>
      <c r="C34" s="201"/>
      <c r="D34" s="201"/>
      <c r="E34" s="201"/>
      <c r="F34" s="201"/>
      <c r="G34" s="201"/>
      <c r="H34" s="15"/>
    </row>
    <row r="35" spans="1:8" x14ac:dyDescent="0.25">
      <c r="A35" s="201"/>
      <c r="B35" s="201"/>
      <c r="C35" s="201"/>
      <c r="D35" s="201"/>
      <c r="E35" s="201"/>
      <c r="F35" s="201"/>
      <c r="G35" s="201"/>
      <c r="H35" s="15"/>
    </row>
    <row r="36" spans="1:8" x14ac:dyDescent="0.25">
      <c r="A36" s="15"/>
      <c r="B36" s="15"/>
      <c r="C36" s="15"/>
      <c r="D36" s="15"/>
      <c r="E36" s="15"/>
      <c r="F36" s="15"/>
      <c r="G36" s="15"/>
      <c r="H36" s="15"/>
    </row>
    <row r="37" spans="1:8" x14ac:dyDescent="0.25">
      <c r="A37" s="15"/>
      <c r="B37" s="15"/>
      <c r="C37" s="15"/>
      <c r="D37" s="15"/>
      <c r="E37" s="15"/>
      <c r="F37" s="15"/>
      <c r="G37" s="15"/>
      <c r="H37" s="15"/>
    </row>
    <row r="38" spans="1:8" x14ac:dyDescent="0.25">
      <c r="A38" s="15"/>
      <c r="B38" s="15"/>
      <c r="C38" s="15"/>
      <c r="D38" s="15"/>
      <c r="E38" s="15"/>
      <c r="F38" s="15"/>
      <c r="G38" s="15"/>
      <c r="H38" s="15"/>
    </row>
    <row r="39" spans="1:8" x14ac:dyDescent="0.25">
      <c r="A39" s="15"/>
      <c r="B39" s="15"/>
      <c r="C39" s="15"/>
      <c r="D39" s="15"/>
      <c r="E39" s="15"/>
      <c r="F39" s="15"/>
      <c r="G39" s="15"/>
      <c r="H39" s="15"/>
    </row>
    <row r="40" spans="1:8" x14ac:dyDescent="0.25">
      <c r="A40" s="15"/>
      <c r="B40" s="15"/>
      <c r="C40" s="15"/>
      <c r="D40" s="15"/>
      <c r="E40" s="15"/>
      <c r="F40" s="15"/>
      <c r="G40" s="15"/>
      <c r="H40" s="15"/>
    </row>
  </sheetData>
  <sheetProtection password="F543" sheet="1" objects="1" scenarios="1" selectLockedCells="1"/>
  <protectedRanges>
    <protectedRange sqref="E25:G32 G9 E6:E24 F6:G8 F10:G24" name="Questionnaire SISL"/>
    <protectedRange sqref="G13:G14" name="Process gas_11"/>
    <protectedRange sqref="G12" name="Process gas_10"/>
    <protectedRange password="DCF5" sqref="G9 G11" name="Regions_1_5"/>
    <protectedRange sqref="G9 G11" name="Process gas_9"/>
    <protectedRange password="DCF5" sqref="G8" name="Regions_1_3"/>
    <protectedRange sqref="G8" name="Process gas_8"/>
    <protectedRange password="DCF5" sqref="G7" name="Regions_1_2"/>
    <protectedRange sqref="G7" name="Process gas_7"/>
    <protectedRange password="DCF5" sqref="C10:D11" name="Regions_1_4"/>
    <protectedRange sqref="G16:G17" name="Process gas_6"/>
    <protectedRange sqref="G15" name="Process gas_5"/>
    <protectedRange sqref="B12:D12 D15 D19" name="Process gas_3"/>
    <protectedRange password="DCF5" sqref="C6:E8" name="Regions_1"/>
    <protectedRange sqref="G10 G6 E6:E17 F6:F8 F10:F17" name="Process gas"/>
  </protectedRanges>
  <mergeCells count="58">
    <mergeCell ref="E22:G22"/>
    <mergeCell ref="E23:G23"/>
    <mergeCell ref="E7:F7"/>
    <mergeCell ref="E8:F8"/>
    <mergeCell ref="E9:F9"/>
    <mergeCell ref="E12:F12"/>
    <mergeCell ref="E11:F11"/>
    <mergeCell ref="E21:F21"/>
    <mergeCell ref="F25:G25"/>
    <mergeCell ref="F26:G26"/>
    <mergeCell ref="E27:G27"/>
    <mergeCell ref="F24:G24"/>
    <mergeCell ref="E32:G32"/>
    <mergeCell ref="E30:G30"/>
    <mergeCell ref="E28:G28"/>
    <mergeCell ref="E31:G31"/>
    <mergeCell ref="A32:D32"/>
    <mergeCell ref="A26:D26"/>
    <mergeCell ref="A29:D29"/>
    <mergeCell ref="A21:D21"/>
    <mergeCell ref="A22:D22"/>
    <mergeCell ref="A30:D30"/>
    <mergeCell ref="A31:D31"/>
    <mergeCell ref="A27:D27"/>
    <mergeCell ref="A28:D28"/>
    <mergeCell ref="A23:B23"/>
    <mergeCell ref="C23:D23"/>
    <mergeCell ref="B24:D24"/>
    <mergeCell ref="A25:D25"/>
    <mergeCell ref="A1:D1"/>
    <mergeCell ref="E1:G1"/>
    <mergeCell ref="A5:G5"/>
    <mergeCell ref="A6:D6"/>
    <mergeCell ref="B4:G4"/>
    <mergeCell ref="E6:G6"/>
    <mergeCell ref="C14:D14"/>
    <mergeCell ref="C17:D17"/>
    <mergeCell ref="A7:D7"/>
    <mergeCell ref="A8:D8"/>
    <mergeCell ref="A9:D9"/>
    <mergeCell ref="A10:D10"/>
    <mergeCell ref="A12:C12"/>
    <mergeCell ref="A18:D18"/>
    <mergeCell ref="E20:F20"/>
    <mergeCell ref="A19:C19"/>
    <mergeCell ref="E10:G10"/>
    <mergeCell ref="A34:G35"/>
    <mergeCell ref="A13:C13"/>
    <mergeCell ref="A15:C15"/>
    <mergeCell ref="A16:C16"/>
    <mergeCell ref="A11:D11"/>
    <mergeCell ref="E29:G29"/>
    <mergeCell ref="E13:F13"/>
    <mergeCell ref="E15:F15"/>
    <mergeCell ref="E16:F16"/>
    <mergeCell ref="E18:F18"/>
    <mergeCell ref="E19:F19"/>
    <mergeCell ref="E14:F14"/>
  </mergeCells>
  <pageMargins left="0.7" right="0.7" top="0.75" bottom="0.75" header="0.3" footer="0.3"/>
  <pageSetup paperSize="9" orientation="portrait" r:id="rId1"/>
  <headerFooter>
    <oddHeader xml:space="preserve">&amp;C </oddHeader>
    <oddFooter>&amp;L&amp;9
&amp;C&amp;9Please note further specifications in catalog. / Bitte weitere Spezifikationen dem Katalog entnehmen.</oddFooter>
  </headerFooter>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200-000000000000}">
          <x14:formula1>
            <xm:f>lookups!$B$45:$B$51</xm:f>
          </x14:formula1>
          <xm:sqref>G15:G17</xm:sqref>
        </x14:dataValidation>
        <x14:dataValidation type="list" allowBlank="1" showInputMessage="1" showErrorMessage="1" xr:uid="{00000000-0002-0000-0200-000001000000}">
          <x14:formula1>
            <xm:f>lookups!$M$45:$M$48</xm:f>
          </x14:formula1>
          <xm:sqref>E10:G10</xm:sqref>
        </x14:dataValidation>
        <x14:dataValidation type="list" allowBlank="1" showInputMessage="1" showErrorMessage="1" xr:uid="{00000000-0002-0000-0200-000002000000}">
          <x14:formula1>
            <xm:f>lookups!$AH$45:$AH$49</xm:f>
          </x14:formula1>
          <xm:sqref>E22:G22</xm:sqref>
        </x14:dataValidation>
        <x14:dataValidation type="list" allowBlank="1" showInputMessage="1" showErrorMessage="1" xr:uid="{00000000-0002-0000-0200-000003000000}">
          <x14:formula1>
            <xm:f>lookups!$C$44:$C$47</xm:f>
          </x14:formula1>
          <xm:sqref>E23:G23</xm:sqref>
        </x14:dataValidation>
        <x14:dataValidation type="list" allowBlank="1" showInputMessage="1" showErrorMessage="1" xr:uid="{00000000-0002-0000-0200-000004000000}">
          <x14:formula1>
            <xm:f>lookups!$F$45:$F$48</xm:f>
          </x14:formula1>
          <xm:sqref>E25</xm:sqref>
        </x14:dataValidation>
        <x14:dataValidation type="list" allowBlank="1" showInputMessage="1" showErrorMessage="1" xr:uid="{00000000-0002-0000-0200-000005000000}">
          <x14:formula1>
            <xm:f>lookups!$O$45:$O$47</xm:f>
          </x14:formula1>
          <xm:sqref>E26</xm:sqref>
        </x14:dataValidation>
        <x14:dataValidation type="list" allowBlank="1" showInputMessage="1" showErrorMessage="1" xr:uid="{00000000-0002-0000-0200-000006000000}">
          <x14:formula1>
            <xm:f>lookups!$P$45:$P$48</xm:f>
          </x14:formula1>
          <xm:sqref>E27:G27</xm:sqref>
        </x14:dataValidation>
        <x14:dataValidation type="list" allowBlank="1" showInputMessage="1" showErrorMessage="1" xr:uid="{00000000-0002-0000-0200-000007000000}">
          <x14:formula1>
            <xm:f>lookups!$Q$45:$Q$48</xm:f>
          </x14:formula1>
          <xm:sqref>E28:G28</xm:sqref>
        </x14:dataValidation>
        <x14:dataValidation type="list" allowBlank="1" showInputMessage="1" showErrorMessage="1" xr:uid="{00000000-0002-0000-0200-000008000000}">
          <x14:formula1>
            <xm:f>lookups!$R$45:$R$48</xm:f>
          </x14:formula1>
          <xm:sqref>E29</xm:sqref>
        </x14:dataValidation>
        <x14:dataValidation type="list" allowBlank="1" showInputMessage="1" showErrorMessage="1" xr:uid="{00000000-0002-0000-0200-000009000000}">
          <x14:formula1>
            <xm:f>lookups!$L$45:$L$50</xm:f>
          </x14:formula1>
          <xm:sqref>E30:G30</xm:sqref>
        </x14:dataValidation>
        <x14:dataValidation type="list" allowBlank="1" showInputMessage="1" showErrorMessage="1" xr:uid="{00000000-0002-0000-0200-00000A000000}">
          <x14:formula1>
            <xm:f>lookups!$N$45:$N$46</xm:f>
          </x14:formula1>
          <xm:sqref>E6:G6</xm:sqref>
        </x14:dataValidation>
        <x14:dataValidation type="list" allowBlank="1" showInputMessage="1" showErrorMessage="1" xr:uid="{00000000-0002-0000-0200-00000B000000}">
          <x14:formula1>
            <xm:f>lookups!$A$45:$A$47</xm:f>
          </x14:formula1>
          <xm:sqref>G11 G7:G8</xm:sqref>
        </x14:dataValidation>
        <x14:dataValidation type="list" allowBlank="1" showInputMessage="1" showErrorMessage="1" xr:uid="{00000000-0002-0000-0200-00000C000000}">
          <x14:formula1>
            <xm:f>lookups!$V$46:$V$48</xm:f>
          </x14:formula1>
          <xm:sqref>G12:G14</xm:sqref>
        </x14:dataValidation>
        <x14:dataValidation type="list" allowBlank="1" showInputMessage="1" showErrorMessage="1" xr:uid="{00000000-0002-0000-0200-00000D000000}">
          <x14:formula1>
            <xm:f>lookups!$W$46:$W$47</xm:f>
          </x14:formula1>
          <xm:sqref>G18</xm:sqref>
        </x14:dataValidation>
        <x14:dataValidation type="list" allowBlank="1" showInputMessage="1" showErrorMessage="1" xr:uid="{00000000-0002-0000-0200-00000E000000}">
          <x14:formula1>
            <xm:f>lookups!$Y$45:$Y$47</xm:f>
          </x14:formula1>
          <xm:sqref>E31:G31</xm:sqref>
        </x14:dataValidation>
        <x14:dataValidation type="list" allowBlank="1" showInputMessage="1" showErrorMessage="1" xr:uid="{00000000-0002-0000-0200-00000F000000}">
          <x14:formula1>
            <xm:f>lookups!$AA$45:$AA$47</xm:f>
          </x14:formula1>
          <xm:sqref>E24</xm:sqref>
        </x14:dataValidation>
        <x14:dataValidation type="list" allowBlank="1" showInputMessage="1" showErrorMessage="1" xr:uid="{00000000-0002-0000-0200-000010000000}">
          <x14:formula1>
            <xm:f>lookups!$A$45:$A$48</xm:f>
          </x14:formula1>
          <xm:sqref>G9</xm:sqref>
        </x14:dataValidation>
        <x14:dataValidation type="list" allowBlank="1" showInputMessage="1" showErrorMessage="1" xr:uid="{00000000-0002-0000-0200-000011000000}">
          <x14:formula1>
            <xm:f>lookups!$X$46:$X$49</xm:f>
          </x14:formula1>
          <xm:sqref>G19:G20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45"/>
  <sheetViews>
    <sheetView showGridLines="0" view="pageLayout" zoomScaleNormal="98" zoomScaleSheetLayoutView="100" workbookViewId="0">
      <selection activeCell="A21" sqref="A21:B21"/>
    </sheetView>
  </sheetViews>
  <sheetFormatPr defaultColWidth="8.81640625" defaultRowHeight="12.5" x14ac:dyDescent="0.25"/>
  <cols>
    <col min="1" max="1" width="11.453125" style="11" customWidth="1"/>
    <col min="2" max="2" width="6.54296875" style="11" customWidth="1"/>
    <col min="3" max="3" width="5.1796875" style="11" customWidth="1"/>
    <col min="4" max="4" width="16.453125" style="11" customWidth="1"/>
    <col min="5" max="5" width="9.54296875" style="61" customWidth="1"/>
    <col min="6" max="6" width="13.453125" style="11" customWidth="1"/>
    <col min="7" max="7" width="9.54296875" style="11" customWidth="1"/>
    <col min="8" max="8" width="3.7265625" style="11" customWidth="1"/>
    <col min="9" max="9" width="13.453125" style="11" customWidth="1"/>
    <col min="10" max="13" width="8.81640625" style="15"/>
    <col min="14" max="16384" width="8.81640625" style="5"/>
  </cols>
  <sheetData>
    <row r="1" spans="1:13" ht="41.5" customHeight="1" x14ac:dyDescent="0.25">
      <c r="A1" s="182"/>
      <c r="B1" s="182"/>
      <c r="C1" s="182"/>
      <c r="D1" s="182"/>
      <c r="E1" s="255" t="str">
        <f>VLOOKUP('General Informations'!$E$2,lookups!$A$37:$B$38,2)</f>
        <v>Configuring questionnaire for in-situ process analysis</v>
      </c>
      <c r="F1" s="255"/>
      <c r="G1" s="255"/>
      <c r="H1" s="255"/>
      <c r="I1" s="255"/>
      <c r="J1" s="19"/>
    </row>
    <row r="2" spans="1:13" x14ac:dyDescent="0.25">
      <c r="A2" s="14"/>
      <c r="B2" s="14"/>
      <c r="C2" s="14"/>
      <c r="D2" s="14"/>
      <c r="E2" s="14"/>
      <c r="F2" s="14"/>
      <c r="G2" s="15"/>
      <c r="H2" s="15"/>
      <c r="I2" s="15"/>
    </row>
    <row r="3" spans="1:13" ht="15.75" customHeight="1" x14ac:dyDescent="0.25">
      <c r="A3" s="16" t="str">
        <f>VLOOKUP('General Informations'!$E$2,lookups!$A$19:$HX$23,ROW())</f>
        <v>LDS6 and Sitrans SL: Please fill out the following informations about the process</v>
      </c>
      <c r="B3" s="16"/>
      <c r="C3" s="16"/>
      <c r="D3" s="16"/>
      <c r="E3" s="16"/>
      <c r="F3" s="16"/>
      <c r="G3" s="15"/>
      <c r="H3" s="15"/>
      <c r="I3" s="15"/>
    </row>
    <row r="4" spans="1:13" ht="13.15" customHeight="1" x14ac:dyDescent="0.3">
      <c r="A4" s="179" t="str">
        <f>VLOOKUP('General Informations'!$E$2,lookups!$A$19:$HX$23,ROW())</f>
        <v>Process gas composition (major species only)</v>
      </c>
      <c r="B4" s="180"/>
      <c r="C4" s="180"/>
      <c r="D4" s="180"/>
      <c r="E4" s="180"/>
      <c r="F4" s="180"/>
      <c r="G4" s="180"/>
      <c r="H4" s="180"/>
      <c r="I4" s="181"/>
    </row>
    <row r="5" spans="1:13" ht="13.15" customHeight="1" x14ac:dyDescent="0.3">
      <c r="A5" s="183"/>
      <c r="B5" s="184"/>
      <c r="C5" s="184"/>
      <c r="D5" s="184"/>
      <c r="E5" s="185"/>
      <c r="F5" s="17" t="str">
        <f>VLOOKUP('General Informations'!$E$2,lookups!$A$19:$HX$23,50)</f>
        <v>Channel 1</v>
      </c>
      <c r="G5" s="237" t="str">
        <f>VLOOKUP('General Informations'!$E$2,lookups!$A$19:$HX$23,51)</f>
        <v>Channel 2</v>
      </c>
      <c r="H5" s="238"/>
      <c r="I5" s="17" t="str">
        <f>VLOOKUP('General Informations'!$E$2,lookups!$A$19:$HX$23,52)</f>
        <v>Channel 3</v>
      </c>
    </row>
    <row r="6" spans="1:13" ht="13.15" customHeight="1" x14ac:dyDescent="0.25">
      <c r="A6" s="245" t="str">
        <f>VLOOKUP('General Informations'!$E$2,lookups!$A$19:$HX$23,ROW())</f>
        <v>Nitrogen / vol%</v>
      </c>
      <c r="B6" s="246"/>
      <c r="C6" s="219" t="str">
        <f>VLOOKUP('General Informations'!$E$2,lookups!$A$19:$HX$23,47)</f>
        <v>min-max during measurement</v>
      </c>
      <c r="D6" s="219"/>
      <c r="E6" s="220"/>
      <c r="F6" s="76"/>
      <c r="G6" s="233"/>
      <c r="H6" s="234"/>
      <c r="I6" s="77"/>
    </row>
    <row r="7" spans="1:13" s="10" customFormat="1" ht="13.15" customHeight="1" x14ac:dyDescent="0.25">
      <c r="A7" s="247"/>
      <c r="B7" s="248"/>
      <c r="C7" s="249" t="str">
        <f>VLOOKUP('General Informations'!$E$2,lookups!$A$19:$HX$23,48)</f>
        <v>typical during measurement</v>
      </c>
      <c r="D7" s="249"/>
      <c r="E7" s="250"/>
      <c r="F7" s="78"/>
      <c r="G7" s="235"/>
      <c r="H7" s="236"/>
      <c r="I7" s="79"/>
      <c r="J7" s="15"/>
      <c r="K7" s="15"/>
      <c r="L7" s="15"/>
      <c r="M7" s="15"/>
    </row>
    <row r="8" spans="1:13" ht="13.15" customHeight="1" x14ac:dyDescent="0.25">
      <c r="A8" s="243"/>
      <c r="B8" s="244"/>
      <c r="C8" s="221" t="str">
        <f>VLOOKUP('General Informations'!$E$2,lookups!$A$19:$HX$23,49)</f>
        <v>max design</v>
      </c>
      <c r="D8" s="221"/>
      <c r="E8" s="222"/>
      <c r="F8" s="80"/>
      <c r="G8" s="231"/>
      <c r="H8" s="232"/>
      <c r="I8" s="81"/>
    </row>
    <row r="9" spans="1:13" ht="13.15" customHeight="1" x14ac:dyDescent="0.25">
      <c r="A9" s="245" t="str">
        <f>VLOOKUP('General Informations'!$E$2,lookups!$A$19:$HX$23,ROW())</f>
        <v>Water vapor / vol%</v>
      </c>
      <c r="B9" s="246"/>
      <c r="C9" s="219" t="str">
        <f>VLOOKUP('General Informations'!$E$2,lookups!$A$19:$HX$23,47)</f>
        <v>min-max during measurement</v>
      </c>
      <c r="D9" s="219"/>
      <c r="E9" s="220"/>
      <c r="F9" s="76"/>
      <c r="G9" s="233"/>
      <c r="H9" s="234"/>
      <c r="I9" s="77"/>
    </row>
    <row r="10" spans="1:13" s="10" customFormat="1" ht="13.15" customHeight="1" x14ac:dyDescent="0.25">
      <c r="A10" s="247"/>
      <c r="B10" s="248"/>
      <c r="C10" s="249" t="str">
        <f>VLOOKUP('General Informations'!$E$2,lookups!$A$19:$HX$23,48)</f>
        <v>typical during measurement</v>
      </c>
      <c r="D10" s="249"/>
      <c r="E10" s="250"/>
      <c r="F10" s="78"/>
      <c r="G10" s="235"/>
      <c r="H10" s="236"/>
      <c r="I10" s="79"/>
      <c r="J10" s="15"/>
      <c r="K10" s="15"/>
      <c r="L10" s="15"/>
      <c r="M10" s="15"/>
    </row>
    <row r="11" spans="1:13" ht="13.15" customHeight="1" x14ac:dyDescent="0.25">
      <c r="A11" s="243"/>
      <c r="B11" s="244"/>
      <c r="C11" s="221" t="str">
        <f>VLOOKUP('General Informations'!$E$2,lookups!$A$19:$HX$23,49)</f>
        <v>max design</v>
      </c>
      <c r="D11" s="221"/>
      <c r="E11" s="222"/>
      <c r="F11" s="80"/>
      <c r="G11" s="231"/>
      <c r="H11" s="232"/>
      <c r="I11" s="81"/>
    </row>
    <row r="12" spans="1:13" ht="13.15" customHeight="1" x14ac:dyDescent="0.25">
      <c r="A12" s="245" t="str">
        <f>VLOOKUP('General Informations'!$E$2,lookups!$A$19:$HX$23,ROW())</f>
        <v>Oxygen / vol%</v>
      </c>
      <c r="B12" s="246"/>
      <c r="C12" s="219" t="str">
        <f>VLOOKUP('General Informations'!$E$2,lookups!$A$19:$HX$23,47)</f>
        <v>min-max during measurement</v>
      </c>
      <c r="D12" s="219"/>
      <c r="E12" s="220"/>
      <c r="F12" s="76"/>
      <c r="G12" s="233"/>
      <c r="H12" s="234"/>
      <c r="I12" s="77"/>
    </row>
    <row r="13" spans="1:13" s="10" customFormat="1" ht="13.15" customHeight="1" x14ac:dyDescent="0.25">
      <c r="A13" s="247"/>
      <c r="B13" s="248"/>
      <c r="C13" s="249" t="str">
        <f>VLOOKUP('General Informations'!$E$2,lookups!$A$19:$HX$23,48)</f>
        <v>typical during measurement</v>
      </c>
      <c r="D13" s="249"/>
      <c r="E13" s="250"/>
      <c r="F13" s="78"/>
      <c r="G13" s="235"/>
      <c r="H13" s="236"/>
      <c r="I13" s="79"/>
      <c r="J13" s="15"/>
      <c r="K13" s="15"/>
      <c r="L13" s="15"/>
      <c r="M13" s="15"/>
    </row>
    <row r="14" spans="1:13" ht="13.15" customHeight="1" x14ac:dyDescent="0.25">
      <c r="A14" s="243"/>
      <c r="B14" s="244"/>
      <c r="C14" s="221" t="str">
        <f>VLOOKUP('General Informations'!$E$2,lookups!$A$19:$HX$23,49)</f>
        <v>max design</v>
      </c>
      <c r="D14" s="221"/>
      <c r="E14" s="222"/>
      <c r="F14" s="80"/>
      <c r="G14" s="231"/>
      <c r="H14" s="232"/>
      <c r="I14" s="81"/>
    </row>
    <row r="15" spans="1:13" ht="13.15" customHeight="1" x14ac:dyDescent="0.25">
      <c r="A15" s="239" t="str">
        <f>VLOOKUP('General Informations'!$E$2,lookups!$A$19:$HX$23,ROW())</f>
        <v>CO2 / vol%</v>
      </c>
      <c r="B15" s="240"/>
      <c r="C15" s="219" t="str">
        <f>VLOOKUP('General Informations'!$E$2,lookups!$A$19:$HX$23,47)</f>
        <v>min-max during measurement</v>
      </c>
      <c r="D15" s="219"/>
      <c r="E15" s="220"/>
      <c r="F15" s="76"/>
      <c r="G15" s="233"/>
      <c r="H15" s="234"/>
      <c r="I15" s="77"/>
    </row>
    <row r="16" spans="1:13" s="10" customFormat="1" ht="13.15" customHeight="1" x14ac:dyDescent="0.25">
      <c r="A16" s="256"/>
      <c r="B16" s="257"/>
      <c r="C16" s="249" t="str">
        <f>VLOOKUP('General Informations'!$E$2,lookups!$A$19:$HX$23,48)</f>
        <v>typical during measurement</v>
      </c>
      <c r="D16" s="249"/>
      <c r="E16" s="250"/>
      <c r="F16" s="78"/>
      <c r="G16" s="235"/>
      <c r="H16" s="236"/>
      <c r="I16" s="79"/>
      <c r="J16" s="15"/>
      <c r="K16" s="15"/>
      <c r="L16" s="15"/>
      <c r="M16" s="15"/>
    </row>
    <row r="17" spans="1:13" ht="13.15" customHeight="1" x14ac:dyDescent="0.25">
      <c r="A17" s="253"/>
      <c r="B17" s="254"/>
      <c r="C17" s="221" t="str">
        <f>VLOOKUP('General Informations'!$E$2,lookups!$A$19:$HX$23,49)</f>
        <v>max design</v>
      </c>
      <c r="D17" s="221"/>
      <c r="E17" s="222"/>
      <c r="F17" s="80"/>
      <c r="G17" s="231"/>
      <c r="H17" s="232"/>
      <c r="I17" s="81"/>
    </row>
    <row r="18" spans="1:13" ht="13.15" customHeight="1" x14ac:dyDescent="0.25">
      <c r="A18" s="239" t="str">
        <f>VLOOKUP('General Informations'!$E$2,lookups!$A$19:$HX$23,ROW())</f>
        <v>CO</v>
      </c>
      <c r="B18" s="240"/>
      <c r="C18" s="219" t="str">
        <f>VLOOKUP('General Informations'!$E$2,lookups!$A$19:$HX$23,47)</f>
        <v>min-max during measurement</v>
      </c>
      <c r="D18" s="219"/>
      <c r="E18" s="220"/>
      <c r="F18" s="76"/>
      <c r="G18" s="233"/>
      <c r="H18" s="234"/>
      <c r="I18" s="77"/>
    </row>
    <row r="19" spans="1:13" s="10" customFormat="1" ht="13.15" customHeight="1" x14ac:dyDescent="0.25">
      <c r="A19" s="241" t="s">
        <v>41</v>
      </c>
      <c r="B19" s="242"/>
      <c r="C19" s="249" t="str">
        <f>VLOOKUP('General Informations'!$E$2,lookups!$A$19:$HX$23,48)</f>
        <v>typical during measurement</v>
      </c>
      <c r="D19" s="249"/>
      <c r="E19" s="250"/>
      <c r="F19" s="78"/>
      <c r="G19" s="235"/>
      <c r="H19" s="236"/>
      <c r="I19" s="79"/>
      <c r="J19" s="15"/>
      <c r="K19" s="15"/>
      <c r="L19" s="15"/>
      <c r="M19" s="15"/>
    </row>
    <row r="20" spans="1:13" ht="13.15" customHeight="1" x14ac:dyDescent="0.25">
      <c r="A20" s="253"/>
      <c r="B20" s="254"/>
      <c r="C20" s="221" t="str">
        <f>VLOOKUP('General Informations'!$E$2,lookups!$A$19:$HX$23,49)</f>
        <v>max design</v>
      </c>
      <c r="D20" s="221"/>
      <c r="E20" s="222"/>
      <c r="F20" s="80"/>
      <c r="G20" s="231"/>
      <c r="H20" s="232"/>
      <c r="I20" s="81"/>
    </row>
    <row r="21" spans="1:13" ht="13.15" customHeight="1" x14ac:dyDescent="0.25">
      <c r="A21" s="251" t="str">
        <f>VLOOKUP('General Informations'!$E$2,lookups!$A$19:$HX$23,ROW())</f>
        <v>[Please fill in]</v>
      </c>
      <c r="B21" s="252"/>
      <c r="C21" s="219" t="str">
        <f>VLOOKUP('General Informations'!$E$2,lookups!$A$19:$HX$23,47)</f>
        <v>min-max during measurement</v>
      </c>
      <c r="D21" s="219"/>
      <c r="E21" s="220"/>
      <c r="F21" s="76"/>
      <c r="G21" s="233"/>
      <c r="H21" s="234"/>
      <c r="I21" s="77"/>
    </row>
    <row r="22" spans="1:13" s="10" customFormat="1" ht="13.15" customHeight="1" x14ac:dyDescent="0.25">
      <c r="A22" s="112" t="str">
        <f>VLOOKUP('General Informations'!$E$2,lookups!$A$19:$HX$23,ROW())</f>
        <v>[unit]</v>
      </c>
      <c r="B22" s="113"/>
      <c r="C22" s="249" t="str">
        <f>VLOOKUP('General Informations'!$E$2,lookups!$A$19:$HX$23,48)</f>
        <v>typical during measurement</v>
      </c>
      <c r="D22" s="249"/>
      <c r="E22" s="250"/>
      <c r="F22" s="78"/>
      <c r="G22" s="235"/>
      <c r="H22" s="236"/>
      <c r="I22" s="79"/>
      <c r="J22" s="15"/>
      <c r="K22" s="15"/>
      <c r="L22" s="15"/>
      <c r="M22" s="15"/>
    </row>
    <row r="23" spans="1:13" ht="13.15" customHeight="1" x14ac:dyDescent="0.25">
      <c r="A23" s="54"/>
      <c r="B23" s="55"/>
      <c r="C23" s="221" t="str">
        <f>VLOOKUP('General Informations'!$E$2,lookups!$A$19:$HX$23,49)</f>
        <v>max design</v>
      </c>
      <c r="D23" s="221"/>
      <c r="E23" s="222"/>
      <c r="F23" s="80"/>
      <c r="G23" s="231"/>
      <c r="H23" s="232"/>
      <c r="I23" s="81"/>
    </row>
    <row r="24" spans="1:13" ht="13.15" customHeight="1" x14ac:dyDescent="0.25">
      <c r="A24" s="251" t="str">
        <f>VLOOKUP('General Informations'!$E$2,lookups!$A$19:$HX$23,ROW())</f>
        <v>[Please fill in]</v>
      </c>
      <c r="B24" s="252"/>
      <c r="C24" s="219" t="str">
        <f>VLOOKUP('General Informations'!$E$2,lookups!$A$19:$HX$23,47)</f>
        <v>min-max during measurement</v>
      </c>
      <c r="D24" s="219"/>
      <c r="E24" s="220"/>
      <c r="F24" s="76"/>
      <c r="G24" s="233"/>
      <c r="H24" s="234"/>
      <c r="I24" s="77"/>
    </row>
    <row r="25" spans="1:13" s="10" customFormat="1" ht="13.15" customHeight="1" x14ac:dyDescent="0.25">
      <c r="A25" s="112" t="str">
        <f>VLOOKUP('General Informations'!$E$2,lookups!$A$19:$HX$23,ROW())</f>
        <v>[unit]</v>
      </c>
      <c r="B25" s="113"/>
      <c r="C25" s="249" t="str">
        <f>VLOOKUP('General Informations'!$E$2,lookups!$A$19:$HX$23,48)</f>
        <v>typical during measurement</v>
      </c>
      <c r="D25" s="249"/>
      <c r="E25" s="250"/>
      <c r="F25" s="78"/>
      <c r="G25" s="235"/>
      <c r="H25" s="236"/>
      <c r="I25" s="79"/>
      <c r="J25" s="15"/>
      <c r="K25" s="15"/>
      <c r="L25" s="15"/>
      <c r="M25" s="15"/>
    </row>
    <row r="26" spans="1:13" ht="13.15" customHeight="1" x14ac:dyDescent="0.25">
      <c r="A26" s="54"/>
      <c r="B26" s="55"/>
      <c r="C26" s="221" t="str">
        <f>VLOOKUP('General Informations'!$E$2,lookups!$A$19:$HX$23,49)</f>
        <v>max design</v>
      </c>
      <c r="D26" s="221"/>
      <c r="E26" s="222"/>
      <c r="F26" s="80"/>
      <c r="G26" s="231"/>
      <c r="H26" s="232"/>
      <c r="I26" s="81"/>
    </row>
    <row r="27" spans="1:13" ht="13.15" customHeight="1" x14ac:dyDescent="0.25">
      <c r="A27" s="251" t="str">
        <f>VLOOKUP('General Informations'!$E$2,lookups!$A$19:$HX$23,ROW())</f>
        <v>[Please fill in]</v>
      </c>
      <c r="B27" s="252"/>
      <c r="C27" s="219" t="str">
        <f>VLOOKUP('General Informations'!$E$2,lookups!$A$19:$HX$23,47)</f>
        <v>min-max during measurement</v>
      </c>
      <c r="D27" s="219"/>
      <c r="E27" s="220"/>
      <c r="F27" s="76"/>
      <c r="G27" s="233"/>
      <c r="H27" s="234"/>
      <c r="I27" s="77"/>
    </row>
    <row r="28" spans="1:13" s="10" customFormat="1" ht="13.15" customHeight="1" x14ac:dyDescent="0.25">
      <c r="A28" s="112" t="str">
        <f>VLOOKUP('General Informations'!$E$2,lookups!$A$19:$HX$23,ROW())</f>
        <v>[unit]</v>
      </c>
      <c r="B28" s="113"/>
      <c r="C28" s="249" t="str">
        <f>VLOOKUP('General Informations'!$E$2,lookups!$A$19:$HX$23,48)</f>
        <v>typical during measurement</v>
      </c>
      <c r="D28" s="249"/>
      <c r="E28" s="250"/>
      <c r="F28" s="78"/>
      <c r="G28" s="235"/>
      <c r="H28" s="236"/>
      <c r="I28" s="79"/>
      <c r="J28" s="15"/>
      <c r="K28" s="15"/>
      <c r="L28" s="15"/>
      <c r="M28" s="15"/>
    </row>
    <row r="29" spans="1:13" ht="13.15" customHeight="1" x14ac:dyDescent="0.25">
      <c r="A29" s="54"/>
      <c r="B29" s="55"/>
      <c r="C29" s="221" t="str">
        <f>VLOOKUP('General Informations'!$E$2,lookups!$A$19:$HX$23,49)</f>
        <v>max design</v>
      </c>
      <c r="D29" s="221"/>
      <c r="E29" s="222"/>
      <c r="F29" s="80"/>
      <c r="G29" s="231"/>
      <c r="H29" s="232"/>
      <c r="I29" s="81"/>
    </row>
    <row r="30" spans="1:13" ht="13.15" customHeight="1" x14ac:dyDescent="0.25">
      <c r="A30" s="251" t="str">
        <f>VLOOKUP('General Informations'!$E$2,lookups!$A$19:$HX$23,ROW())</f>
        <v>[Please fill in]</v>
      </c>
      <c r="B30" s="252"/>
      <c r="C30" s="219" t="str">
        <f>VLOOKUP('General Informations'!$E$2,lookups!$A$19:$HX$23,47)</f>
        <v>min-max during measurement</v>
      </c>
      <c r="D30" s="219"/>
      <c r="E30" s="220"/>
      <c r="F30" s="76"/>
      <c r="G30" s="233"/>
      <c r="H30" s="234"/>
      <c r="I30" s="77"/>
    </row>
    <row r="31" spans="1:13" s="10" customFormat="1" ht="13.15" customHeight="1" x14ac:dyDescent="0.25">
      <c r="A31" s="112" t="str">
        <f>VLOOKUP('General Informations'!$E$2,lookups!$A$19:$HX$23,ROW())</f>
        <v>[unit]</v>
      </c>
      <c r="B31" s="113"/>
      <c r="C31" s="249" t="str">
        <f>VLOOKUP('General Informations'!$E$2,lookups!$A$19:$HX$23,48)</f>
        <v>typical during measurement</v>
      </c>
      <c r="D31" s="249"/>
      <c r="E31" s="250"/>
      <c r="F31" s="78"/>
      <c r="G31" s="235"/>
      <c r="H31" s="236"/>
      <c r="I31" s="79"/>
      <c r="J31" s="15"/>
      <c r="K31" s="15"/>
      <c r="L31" s="15"/>
      <c r="M31" s="15"/>
    </row>
    <row r="32" spans="1:13" ht="13.15" customHeight="1" x14ac:dyDescent="0.25">
      <c r="A32" s="253"/>
      <c r="B32" s="254"/>
      <c r="C32" s="221" t="str">
        <f>VLOOKUP('General Informations'!$E$2,lookups!$A$19:$HX$23,49)</f>
        <v>max design</v>
      </c>
      <c r="D32" s="221"/>
      <c r="E32" s="222"/>
      <c r="F32" s="80"/>
      <c r="G32" s="231"/>
      <c r="H32" s="232"/>
      <c r="I32" s="81"/>
    </row>
    <row r="33" spans="1:9" ht="13.15" customHeight="1" x14ac:dyDescent="0.25">
      <c r="A33" s="245" t="str">
        <f>VLOOKUP('General Informations'!$E$2,lookups!$A$19:$HX$23,ROW())</f>
        <v xml:space="preserve">Gas speed in m/s </v>
      </c>
      <c r="B33" s="246"/>
      <c r="C33" s="246"/>
      <c r="D33" s="246"/>
      <c r="E33" s="282"/>
      <c r="F33" s="274"/>
      <c r="G33" s="276"/>
      <c r="H33" s="277"/>
      <c r="I33" s="280"/>
    </row>
    <row r="34" spans="1:9" ht="13.15" customHeight="1" x14ac:dyDescent="0.25">
      <c r="A34" s="243" t="str">
        <f>VLOOKUP('General Informations'!$E$2,lookups!$A$19:$HX$23,ROW())</f>
        <v xml:space="preserve"> </v>
      </c>
      <c r="B34" s="244"/>
      <c r="C34" s="244"/>
      <c r="D34" s="244"/>
      <c r="E34" s="283"/>
      <c r="F34" s="275"/>
      <c r="G34" s="278"/>
      <c r="H34" s="279"/>
      <c r="I34" s="281"/>
    </row>
    <row r="35" spans="1:9" s="15" customFormat="1" ht="13.15" customHeight="1" x14ac:dyDescent="0.25">
      <c r="A35" s="18"/>
      <c r="B35" s="18"/>
      <c r="C35" s="18"/>
      <c r="D35" s="14"/>
      <c r="E35" s="14"/>
      <c r="F35" s="14"/>
    </row>
    <row r="36" spans="1:9" ht="13.15" customHeight="1" x14ac:dyDescent="0.3">
      <c r="A36" s="179" t="str">
        <f>VLOOKUP('General Informations'!$E$2,lookups!$A$19:$HX$23,ROW())</f>
        <v>Ambient conditions</v>
      </c>
      <c r="B36" s="180"/>
      <c r="C36" s="180"/>
      <c r="D36" s="180"/>
      <c r="E36" s="180"/>
      <c r="F36" s="180"/>
      <c r="G36" s="180"/>
      <c r="H36" s="180"/>
      <c r="I36" s="181"/>
    </row>
    <row r="37" spans="1:9" ht="13.15" customHeight="1" x14ac:dyDescent="0.25">
      <c r="A37" s="264" t="str">
        <f>VLOOKUP('General Informations'!$E$2,lookups!$A$19:$HX$23,ROW())</f>
        <v>Amb. temp. range</v>
      </c>
      <c r="B37" s="266"/>
      <c r="C37" s="265"/>
      <c r="D37" s="272"/>
      <c r="E37" s="273"/>
      <c r="F37" s="264" t="str">
        <f>VLOOKUP('General Informations'!$E$2,lookups!$A$19:$HX$23,43)</f>
        <v>Amb. pressure range</v>
      </c>
      <c r="G37" s="265"/>
      <c r="H37" s="270"/>
      <c r="I37" s="271"/>
    </row>
    <row r="38" spans="1:9" x14ac:dyDescent="0.25">
      <c r="A38" s="264" t="str">
        <f>VLOOKUP('General Informations'!$E$2,lookups!$A$19:$HX$23,ROW())</f>
        <v>Amb. humidity (rel.) range</v>
      </c>
      <c r="B38" s="266"/>
      <c r="C38" s="265"/>
      <c r="D38" s="272"/>
      <c r="E38" s="273"/>
      <c r="F38" s="264" t="str">
        <f>VLOOKUP('General Informations'!$E$2,lookups!$A$19:$HX$23,44)</f>
        <v>Altitude above sea level</v>
      </c>
      <c r="G38" s="265"/>
      <c r="H38" s="270"/>
      <c r="I38" s="271"/>
    </row>
    <row r="39" spans="1:9" x14ac:dyDescent="0.25">
      <c r="A39" s="15"/>
      <c r="B39" s="15"/>
      <c r="C39" s="15"/>
      <c r="D39" s="15"/>
      <c r="E39" s="15"/>
      <c r="F39" s="15"/>
      <c r="G39" s="15"/>
      <c r="H39" s="15"/>
      <c r="I39" s="15"/>
    </row>
    <row r="40" spans="1:9" ht="13.15" customHeight="1" x14ac:dyDescent="0.25">
      <c r="A40" s="15"/>
      <c r="B40" s="15"/>
      <c r="C40" s="15"/>
      <c r="D40" s="15"/>
      <c r="E40" s="15"/>
      <c r="F40" s="15"/>
      <c r="G40" s="15"/>
      <c r="H40" s="15"/>
      <c r="I40" s="15"/>
    </row>
    <row r="41" spans="1:9" ht="13" x14ac:dyDescent="0.3">
      <c r="A41" s="267" t="str">
        <f>VLOOKUP('General Informations'!$E$2,lookups!$A$19:$HX$23,ROW())</f>
        <v>Remarks</v>
      </c>
      <c r="B41" s="268"/>
      <c r="C41" s="268"/>
      <c r="D41" s="268"/>
      <c r="E41" s="268"/>
      <c r="F41" s="268"/>
      <c r="G41" s="268"/>
      <c r="H41" s="268"/>
      <c r="I41" s="269"/>
    </row>
    <row r="42" spans="1:9" x14ac:dyDescent="0.25">
      <c r="A42" s="258"/>
      <c r="B42" s="259"/>
      <c r="C42" s="259"/>
      <c r="D42" s="259"/>
      <c r="E42" s="259"/>
      <c r="F42" s="259"/>
      <c r="G42" s="259"/>
      <c r="H42" s="259"/>
      <c r="I42" s="260"/>
    </row>
    <row r="43" spans="1:9" ht="169.5" customHeight="1" x14ac:dyDescent="0.25">
      <c r="A43" s="261"/>
      <c r="B43" s="262"/>
      <c r="C43" s="262"/>
      <c r="D43" s="262"/>
      <c r="E43" s="262"/>
      <c r="F43" s="262"/>
      <c r="G43" s="262"/>
      <c r="H43" s="262"/>
      <c r="I43" s="263"/>
    </row>
    <row r="44" spans="1:9" x14ac:dyDescent="0.25">
      <c r="A44" s="15"/>
      <c r="B44" s="15"/>
      <c r="C44" s="15"/>
      <c r="D44" s="15"/>
      <c r="E44" s="15"/>
      <c r="F44" s="15"/>
      <c r="G44" s="15"/>
      <c r="H44" s="15"/>
      <c r="I44" s="15"/>
    </row>
    <row r="45" spans="1:9" ht="13.15" customHeight="1" x14ac:dyDescent="0.25"/>
  </sheetData>
  <sheetProtection algorithmName="SHA-512" hashValue="oX9ue3PVfRoQFq+y7Ohaf6As8ahDr/eaWc7xR9hBzQZvCsRc5UoZwmWG2DISVLRxSiovaaOT0+4c0IOnzMdjUw==" saltValue="VNSp9zaHazU8bhpC4x0vXg==" spinCount="100000" sheet="1" objects="1" scenarios="1" selectLockedCells="1"/>
  <protectedRanges>
    <protectedRange sqref="F6:I34 A21:B32 D37:E38 H37:I38 A42" name="Allowed cells"/>
  </protectedRanges>
  <mergeCells count="95">
    <mergeCell ref="C31:E31"/>
    <mergeCell ref="C32:E32"/>
    <mergeCell ref="A33:E33"/>
    <mergeCell ref="A34:E34"/>
    <mergeCell ref="D37:E37"/>
    <mergeCell ref="A32:B32"/>
    <mergeCell ref="C19:E19"/>
    <mergeCell ref="C20:E20"/>
    <mergeCell ref="C21:E21"/>
    <mergeCell ref="C22:E22"/>
    <mergeCell ref="C23:E23"/>
    <mergeCell ref="C10:E10"/>
    <mergeCell ref="C11:E11"/>
    <mergeCell ref="C12:E12"/>
    <mergeCell ref="C13:E13"/>
    <mergeCell ref="C14:E14"/>
    <mergeCell ref="A5:E5"/>
    <mergeCell ref="C6:E6"/>
    <mergeCell ref="C7:E7"/>
    <mergeCell ref="C8:E8"/>
    <mergeCell ref="C9:E9"/>
    <mergeCell ref="F33:F34"/>
    <mergeCell ref="G33:H34"/>
    <mergeCell ref="I33:I34"/>
    <mergeCell ref="G25:H25"/>
    <mergeCell ref="G26:H26"/>
    <mergeCell ref="G27:H27"/>
    <mergeCell ref="G28:H28"/>
    <mergeCell ref="G29:H29"/>
    <mergeCell ref="G30:H30"/>
    <mergeCell ref="G31:H31"/>
    <mergeCell ref="G32:H32"/>
    <mergeCell ref="A42:I43"/>
    <mergeCell ref="A36:I36"/>
    <mergeCell ref="F37:G37"/>
    <mergeCell ref="F38:G38"/>
    <mergeCell ref="A37:C37"/>
    <mergeCell ref="A38:C38"/>
    <mergeCell ref="A41:I41"/>
    <mergeCell ref="H37:I37"/>
    <mergeCell ref="H38:I38"/>
    <mergeCell ref="D38:E38"/>
    <mergeCell ref="A20:B20"/>
    <mergeCell ref="A4:I4"/>
    <mergeCell ref="G10:H10"/>
    <mergeCell ref="A1:D1"/>
    <mergeCell ref="A6:B6"/>
    <mergeCell ref="A7:B7"/>
    <mergeCell ref="A8:B8"/>
    <mergeCell ref="A9:B9"/>
    <mergeCell ref="A10:B10"/>
    <mergeCell ref="E1:I1"/>
    <mergeCell ref="G15:H15"/>
    <mergeCell ref="G16:H16"/>
    <mergeCell ref="G17:H17"/>
    <mergeCell ref="G18:H18"/>
    <mergeCell ref="A16:B16"/>
    <mergeCell ref="A17:B17"/>
    <mergeCell ref="A21:B21"/>
    <mergeCell ref="A24:B24"/>
    <mergeCell ref="A30:B30"/>
    <mergeCell ref="A27:B27"/>
    <mergeCell ref="C25:E25"/>
    <mergeCell ref="C26:E26"/>
    <mergeCell ref="C27:E27"/>
    <mergeCell ref="C28:E28"/>
    <mergeCell ref="C29:E29"/>
    <mergeCell ref="C30:E30"/>
    <mergeCell ref="C24:E24"/>
    <mergeCell ref="A18:B18"/>
    <mergeCell ref="A19:B19"/>
    <mergeCell ref="G19:H19"/>
    <mergeCell ref="G11:H11"/>
    <mergeCell ref="G12:H12"/>
    <mergeCell ref="G13:H13"/>
    <mergeCell ref="G14:H14"/>
    <mergeCell ref="A11:B11"/>
    <mergeCell ref="A12:B12"/>
    <mergeCell ref="A13:B13"/>
    <mergeCell ref="A14:B14"/>
    <mergeCell ref="A15:B15"/>
    <mergeCell ref="C15:E15"/>
    <mergeCell ref="C16:E16"/>
    <mergeCell ref="C17:E17"/>
    <mergeCell ref="C18:E18"/>
    <mergeCell ref="G5:H5"/>
    <mergeCell ref="G6:H6"/>
    <mergeCell ref="G7:H7"/>
    <mergeCell ref="G8:H8"/>
    <mergeCell ref="G9:H9"/>
    <mergeCell ref="G20:H20"/>
    <mergeCell ref="G21:H21"/>
    <mergeCell ref="G22:H22"/>
    <mergeCell ref="G23:H23"/>
    <mergeCell ref="G24:H24"/>
  </mergeCells>
  <pageMargins left="0.7" right="0.7" top="0.75" bottom="0.75" header="0.3" footer="0.3"/>
  <pageSetup paperSize="9" fitToHeight="0" orientation="portrait" r:id="rId1"/>
  <headerFooter>
    <oddHeader xml:space="preserve">&amp;C </oddHeader>
    <oddFooter>&amp;CPlease note further specifications in catalog. / Bitte weitere Spezifikationen dem Katalog entnehmen.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lookups!$A$45:$A$47</xm:f>
          </x14:formula1>
          <xm:sqref>A19:B19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7"/>
  <sheetViews>
    <sheetView showGridLines="0" view="pageLayout" zoomScale="85" zoomScaleNormal="100" zoomScaleSheetLayoutView="100" zoomScalePageLayoutView="85" workbookViewId="0">
      <selection activeCell="E8" sqref="E8:G8"/>
    </sheetView>
  </sheetViews>
  <sheetFormatPr defaultColWidth="8.81640625" defaultRowHeight="12.5" x14ac:dyDescent="0.25"/>
  <cols>
    <col min="1" max="1" width="0.26953125" style="8" customWidth="1"/>
    <col min="2" max="2" width="11.81640625" style="8" customWidth="1"/>
    <col min="3" max="3" width="11.26953125" style="8" customWidth="1"/>
    <col min="4" max="4" width="8.81640625" style="8" customWidth="1"/>
    <col min="5" max="5" width="17.26953125" style="8" customWidth="1"/>
    <col min="6" max="6" width="8.26953125" style="8" customWidth="1"/>
    <col min="7" max="7" width="25" style="8" customWidth="1"/>
    <col min="8" max="8" width="2.81640625" style="8" customWidth="1"/>
    <col min="9" max="16384" width="8.81640625" style="8"/>
  </cols>
  <sheetData>
    <row r="1" spans="1:7" ht="41.5" customHeight="1" x14ac:dyDescent="0.25">
      <c r="A1" s="182"/>
      <c r="B1" s="182"/>
      <c r="C1" s="182"/>
      <c r="D1" s="182"/>
      <c r="E1" s="178" t="str">
        <f>VLOOKUP('General Informations'!$E$2,lookups!$A$37:$B$38,2)</f>
        <v>Configuring questionnaire for in-situ process analysis</v>
      </c>
      <c r="F1" s="178"/>
      <c r="G1" s="178"/>
    </row>
    <row r="2" spans="1:7" ht="13.15" customHeight="1" x14ac:dyDescent="0.25">
      <c r="A2" s="14"/>
      <c r="B2" s="14"/>
      <c r="C2" s="14"/>
      <c r="D2" s="14"/>
      <c r="E2" s="14"/>
      <c r="F2" s="15"/>
      <c r="G2" s="15"/>
    </row>
    <row r="3" spans="1:7" ht="16.149999999999999" customHeight="1" x14ac:dyDescent="0.25">
      <c r="A3" s="16" t="str">
        <f>VLOOKUP('General Informations'!$E$2,lookups!$A$185:$HX$190,ROW())</f>
        <v>Special Hardware</v>
      </c>
      <c r="B3" s="16"/>
      <c r="C3" s="16"/>
      <c r="D3" s="16"/>
      <c r="E3" s="16"/>
      <c r="F3" s="15"/>
      <c r="G3" s="15"/>
    </row>
    <row r="4" spans="1:7" ht="14.5" customHeight="1" x14ac:dyDescent="0.25">
      <c r="A4" s="47" t="str">
        <f>VLOOKUP('General Informations'!$E$2,lookups!$A$13:$HX$17,ROW())</f>
        <v>SISL_EN</v>
      </c>
      <c r="B4" s="190"/>
      <c r="C4" s="190"/>
      <c r="D4" s="190"/>
      <c r="E4" s="190"/>
      <c r="F4" s="190"/>
      <c r="G4" s="190"/>
    </row>
    <row r="5" spans="1:7" ht="13" x14ac:dyDescent="0.3">
      <c r="A5" s="214" t="str">
        <f>VLOOKUP('General Informations'!$E$2,lookups!$A$185:$HX$190,ROW())</f>
        <v>1/ Flowcell for extractive measurement</v>
      </c>
      <c r="B5" s="214"/>
      <c r="C5" s="214"/>
      <c r="D5" s="214"/>
      <c r="E5" s="214"/>
      <c r="F5" s="214"/>
      <c r="G5" s="214"/>
    </row>
    <row r="6" spans="1:7" ht="38.5" customHeight="1" x14ac:dyDescent="0.25">
      <c r="A6" s="264" t="str">
        <f>VLOOKUP('General Informations'!$E$2,lookups!$A$185:$HX$190,ROW())</f>
        <v>Analyzer MLFB and serial number (in case of already delivered analyzer)</v>
      </c>
      <c r="B6" s="266"/>
      <c r="C6" s="266"/>
      <c r="D6" s="265"/>
      <c r="E6" s="198"/>
      <c r="F6" s="199"/>
      <c r="G6" s="200"/>
    </row>
    <row r="7" spans="1:7" ht="13.15" customHeight="1" x14ac:dyDescent="0.25">
      <c r="A7" s="264" t="str">
        <f>VLOOKUP('General Informations'!$E$2,lookups!$A$185:$HX$190,ROW())</f>
        <v>Path length</v>
      </c>
      <c r="B7" s="266"/>
      <c r="C7" s="266"/>
      <c r="D7" s="265"/>
      <c r="E7" s="198"/>
      <c r="F7" s="199"/>
      <c r="G7" s="69"/>
    </row>
    <row r="8" spans="1:7" ht="13.15" customHeight="1" x14ac:dyDescent="0.25">
      <c r="A8" s="264" t="str">
        <f>VLOOKUP('General Informations'!$E$2,lookups!$A$185:$HX$190,ROW())</f>
        <v>Mount</v>
      </c>
      <c r="B8" s="266"/>
      <c r="C8" s="266"/>
      <c r="D8" s="265"/>
      <c r="E8" s="198"/>
      <c r="F8" s="199"/>
      <c r="G8" s="200"/>
    </row>
    <row r="9" spans="1:7" ht="13.15" customHeight="1" x14ac:dyDescent="0.25">
      <c r="A9" s="264" t="str">
        <f>VLOOKUP('General Informations'!$E$2,lookups!$A$185:$HX$190,ROW())</f>
        <v>Heating system</v>
      </c>
      <c r="B9" s="266"/>
      <c r="C9" s="266"/>
      <c r="D9" s="265"/>
      <c r="E9" s="198"/>
      <c r="F9" s="199"/>
      <c r="G9" s="200"/>
    </row>
    <row r="10" spans="1:7" ht="13.15" customHeight="1" x14ac:dyDescent="0.25">
      <c r="A10" s="264" t="str">
        <f>VLOOKUP('General Informations'!$E$2,lookups!$A$185:$HX$190,ROW())</f>
        <v>Gas jet pump</v>
      </c>
      <c r="B10" s="266"/>
      <c r="C10" s="266"/>
      <c r="D10" s="265"/>
      <c r="E10" s="198"/>
      <c r="F10" s="199"/>
      <c r="G10" s="200"/>
    </row>
    <row r="11" spans="1:7" ht="27.25" customHeight="1" x14ac:dyDescent="0.25">
      <c r="A11" s="264" t="str">
        <f>VLOOKUP('General Informations'!$E$2,lookups!$A$185:$HX$190,ROW())</f>
        <v>Heated gas inlet line with regulator (max 200°C)</v>
      </c>
      <c r="B11" s="266"/>
      <c r="C11" s="266"/>
      <c r="D11" s="265"/>
      <c r="E11" s="198"/>
      <c r="F11" s="199"/>
      <c r="G11" s="69"/>
    </row>
    <row r="12" spans="1:7" s="13" customFormat="1" ht="27.75" customHeight="1" x14ac:dyDescent="0.25">
      <c r="A12" s="292" t="str">
        <f>VLOOKUP('General Informations'!$E$2,lookups!$A$185:$HX$190,ROW())</f>
        <v>Heated gas outlet line with regulator (max 200°C)</v>
      </c>
      <c r="B12" s="293"/>
      <c r="C12" s="293"/>
      <c r="D12" s="294"/>
      <c r="E12" s="295"/>
      <c r="F12" s="296"/>
      <c r="G12" s="57"/>
    </row>
    <row r="13" spans="1:7" x14ac:dyDescent="0.25">
      <c r="A13" s="195" t="str">
        <f>VLOOKUP('General Informations'!$E$2,lookups!$A$185:$HX$190,ROW())</f>
        <v>Voltage</v>
      </c>
      <c r="B13" s="195"/>
      <c r="C13" s="195"/>
      <c r="D13" s="195"/>
      <c r="E13" s="156"/>
      <c r="F13" s="194"/>
      <c r="G13" s="157"/>
    </row>
    <row r="14" spans="1:7" x14ac:dyDescent="0.25">
      <c r="A14" s="195" t="str">
        <f>VLOOKUP('General Informations'!$E$2,lookups!$A$185:$HX$190,ROW())</f>
        <v>Language of documentation</v>
      </c>
      <c r="B14" s="195"/>
      <c r="C14" s="195"/>
      <c r="D14" s="195"/>
      <c r="E14" s="156" t="s">
        <v>48</v>
      </c>
      <c r="F14" s="194"/>
      <c r="G14" s="157"/>
    </row>
    <row r="15" spans="1:7" x14ac:dyDescent="0.25">
      <c r="A15" s="15"/>
      <c r="B15" s="15"/>
      <c r="C15" s="15"/>
      <c r="D15" s="15"/>
      <c r="E15" s="15"/>
      <c r="F15" s="15"/>
      <c r="G15" s="15"/>
    </row>
    <row r="16" spans="1:7" ht="13" x14ac:dyDescent="0.3">
      <c r="A16" s="284" t="str">
        <f>VLOOKUP('General Informations'!$E$2,lookups!$A$185:$HX$190,ROW())</f>
        <v>Test kits</v>
      </c>
      <c r="B16" s="284"/>
      <c r="C16" s="284"/>
      <c r="D16" s="284"/>
      <c r="E16" s="284"/>
      <c r="F16" s="284"/>
      <c r="G16" s="285"/>
    </row>
    <row r="17" spans="1:7" x14ac:dyDescent="0.25">
      <c r="A17" s="264" t="str">
        <f>VLOOKUP('General Informations'!$E$2,lookups!$A$185:$HX$190,ROW())</f>
        <v>Type of kit</v>
      </c>
      <c r="B17" s="266"/>
      <c r="C17" s="266"/>
      <c r="D17" s="265"/>
      <c r="E17" s="198"/>
      <c r="F17" s="199"/>
      <c r="G17" s="200"/>
    </row>
    <row r="18" spans="1:7" x14ac:dyDescent="0.25">
      <c r="A18" s="264" t="str">
        <f>VLOOKUP('General Informations'!$E$2,lookups!$A$185:$HX$190,ROW())</f>
        <v>Measurement gas</v>
      </c>
      <c r="B18" s="266"/>
      <c r="C18" s="266"/>
      <c r="D18" s="265"/>
      <c r="E18" s="198"/>
      <c r="F18" s="199"/>
      <c r="G18" s="200"/>
    </row>
    <row r="19" spans="1:7" x14ac:dyDescent="0.25">
      <c r="A19" s="264" t="str">
        <f>VLOOKUP('General Informations'!$E$2,lookups!$A$185:$HX$190,ROW())</f>
        <v>Concentration</v>
      </c>
      <c r="B19" s="266"/>
      <c r="C19" s="266"/>
      <c r="D19" s="265"/>
      <c r="E19" s="198"/>
      <c r="F19" s="199"/>
      <c r="G19" s="200"/>
    </row>
    <row r="20" spans="1:7" x14ac:dyDescent="0.25">
      <c r="A20" s="15"/>
      <c r="B20" s="15"/>
      <c r="C20" s="15"/>
      <c r="D20" s="15"/>
      <c r="E20" s="15"/>
      <c r="F20" s="15"/>
      <c r="G20" s="15"/>
    </row>
    <row r="21" spans="1:7" ht="13" x14ac:dyDescent="0.3">
      <c r="A21" s="284" t="str">
        <f>VLOOKUP('General Informations'!$E$2,lookups!$A$185:$HX$190,ROW())</f>
        <v>Other hardware requests</v>
      </c>
      <c r="B21" s="284"/>
      <c r="C21" s="284"/>
      <c r="D21" s="284"/>
      <c r="E21" s="284"/>
      <c r="F21" s="284"/>
      <c r="G21" s="285"/>
    </row>
    <row r="22" spans="1:7" ht="192.75" customHeight="1" x14ac:dyDescent="0.25">
      <c r="A22" s="286"/>
      <c r="B22" s="287"/>
      <c r="C22" s="287"/>
      <c r="D22" s="287"/>
      <c r="E22" s="287"/>
      <c r="F22" s="287"/>
      <c r="G22" s="288"/>
    </row>
    <row r="23" spans="1:7" x14ac:dyDescent="0.25">
      <c r="A23" s="15"/>
      <c r="B23" s="15"/>
      <c r="C23" s="15"/>
      <c r="D23" s="15"/>
      <c r="E23" s="15"/>
      <c r="F23" s="15"/>
      <c r="G23" s="15"/>
    </row>
    <row r="24" spans="1:7" ht="13" x14ac:dyDescent="0.3">
      <c r="A24" s="291" t="str">
        <f>VLOOKUP('General Informations'!$E$2,lookups!$A$185:$HX$190,ROW())</f>
        <v>2/ Special Flange (Not to be used with EX-Devices)</v>
      </c>
      <c r="B24" s="291"/>
      <c r="C24" s="291"/>
      <c r="D24" s="291"/>
      <c r="E24" s="291"/>
      <c r="F24" s="291"/>
      <c r="G24" s="291"/>
    </row>
    <row r="25" spans="1:7" x14ac:dyDescent="0.25">
      <c r="A25" s="289" t="str">
        <f>VLOOKUP('General Informations'!$E$2,lookups!$A$185:$HX$190,ROW())</f>
        <v>Device type</v>
      </c>
      <c r="B25" s="289"/>
      <c r="C25" s="289"/>
      <c r="D25" s="289"/>
      <c r="E25" s="290"/>
      <c r="F25" s="290"/>
      <c r="G25" s="290"/>
    </row>
    <row r="26" spans="1:7" x14ac:dyDescent="0.25">
      <c r="A26" s="289" t="str">
        <f>VLOOKUP('General Informations'!$E$2,lookups!$A$185:$HX$190,ROW())</f>
        <v>Number of flanges</v>
      </c>
      <c r="B26" s="289"/>
      <c r="C26" s="289"/>
      <c r="D26" s="289"/>
      <c r="E26" s="290"/>
      <c r="F26" s="290"/>
      <c r="G26" s="290"/>
    </row>
    <row r="27" spans="1:7" x14ac:dyDescent="0.25">
      <c r="A27" s="289" t="str">
        <f>VLOOKUP('General Informations'!$E$2,lookups!$A$185:$HX$190,ROW())</f>
        <v>Regulation</v>
      </c>
      <c r="B27" s="289"/>
      <c r="C27" s="289"/>
      <c r="D27" s="289"/>
      <c r="E27" s="290"/>
      <c r="F27" s="290"/>
      <c r="G27" s="290"/>
    </row>
    <row r="28" spans="1:7" x14ac:dyDescent="0.25">
      <c r="A28" s="297" t="str">
        <f>VLOOKUP('General Informations'!$E$2,lookups!$A$185:$HX$190,ROW())</f>
        <v>or</v>
      </c>
      <c r="B28" s="297"/>
      <c r="C28" s="297"/>
      <c r="D28" s="297"/>
      <c r="E28" s="56"/>
      <c r="F28" s="56"/>
      <c r="G28" s="56"/>
    </row>
    <row r="29" spans="1:7" x14ac:dyDescent="0.25">
      <c r="A29" s="289" t="str">
        <f>VLOOKUP('General Informations'!$E$2,lookups!$A$185:$HX$190,ROW())</f>
        <v>Diameter</v>
      </c>
      <c r="B29" s="289"/>
      <c r="C29" s="289"/>
      <c r="D29" s="289"/>
      <c r="E29" s="290"/>
      <c r="F29" s="290"/>
      <c r="G29" s="290"/>
    </row>
    <row r="30" spans="1:7" x14ac:dyDescent="0.25">
      <c r="A30" s="289" t="str">
        <f>VLOOKUP('General Informations'!$E$2,lookups!$A$185:$HX$190,ROW())</f>
        <v>Thickness</v>
      </c>
      <c r="B30" s="289"/>
      <c r="C30" s="289"/>
      <c r="D30" s="289"/>
      <c r="E30" s="290"/>
      <c r="F30" s="290"/>
      <c r="G30" s="290"/>
    </row>
    <row r="31" spans="1:7" x14ac:dyDescent="0.25">
      <c r="A31" s="298" t="str">
        <f>VLOOKUP('General Informations'!$E$2,lookups!$A$185:$HX$190,ROW())</f>
        <v>Pressure</v>
      </c>
      <c r="B31" s="298"/>
      <c r="C31" s="298"/>
      <c r="D31" s="298"/>
      <c r="E31" s="290"/>
      <c r="F31" s="290"/>
      <c r="G31" s="290"/>
    </row>
    <row r="32" spans="1:7" x14ac:dyDescent="0.25">
      <c r="A32" s="298" t="str">
        <f>VLOOKUP('General Informations'!$E$2,lookups!$A$185:$HX$190,ROW())</f>
        <v>Direction of fastening</v>
      </c>
      <c r="B32" s="298"/>
      <c r="C32" s="298"/>
      <c r="D32" s="298"/>
      <c r="E32" s="290"/>
      <c r="F32" s="290"/>
      <c r="G32" s="290"/>
    </row>
    <row r="33" spans="1:7" s="9" customFormat="1" x14ac:dyDescent="0.25">
      <c r="A33" s="298" t="str">
        <f>VLOOKUP('General Informations'!$E$2,lookups!$A$185:$HX$190,ROW())</f>
        <v>Number of gaskets</v>
      </c>
      <c r="B33" s="298"/>
      <c r="C33" s="298"/>
      <c r="D33" s="298"/>
      <c r="E33" s="290"/>
      <c r="F33" s="290"/>
      <c r="G33" s="290"/>
    </row>
    <row r="34" spans="1:7" x14ac:dyDescent="0.25">
      <c r="A34" s="298" t="str">
        <f>VLOOKUP('General Informations'!$E$2,lookups!$A$185:$HX$190,ROW())</f>
        <v>Material of gaskets</v>
      </c>
      <c r="B34" s="298"/>
      <c r="C34" s="298"/>
      <c r="D34" s="298"/>
      <c r="E34" s="290"/>
      <c r="F34" s="290"/>
      <c r="G34" s="290"/>
    </row>
    <row r="35" spans="1:7" x14ac:dyDescent="0.25">
      <c r="A35" s="15"/>
      <c r="B35" s="15"/>
      <c r="C35" s="15"/>
      <c r="D35" s="15"/>
      <c r="E35" s="15"/>
      <c r="F35" s="15"/>
      <c r="G35" s="15"/>
    </row>
    <row r="36" spans="1:7" x14ac:dyDescent="0.25">
      <c r="A36" s="15"/>
      <c r="B36" s="15"/>
      <c r="C36" s="15"/>
      <c r="D36" s="15"/>
      <c r="E36" s="15"/>
      <c r="F36" s="15"/>
      <c r="G36" s="15"/>
    </row>
    <row r="37" spans="1:7" x14ac:dyDescent="0.25">
      <c r="A37" s="15"/>
      <c r="B37" s="15"/>
      <c r="C37" s="15"/>
      <c r="D37" s="15"/>
      <c r="E37" s="15"/>
      <c r="F37" s="15"/>
      <c r="G37" s="15"/>
    </row>
  </sheetData>
  <sheetProtection password="F543" sheet="1" objects="1" scenarios="1" selectLockedCells="1"/>
  <protectedRanges>
    <protectedRange sqref="E6:G14 E25:G34 E17:G19" name="Questionnaire SISL"/>
    <protectedRange password="DCF5" sqref="G6:G11 G25:G30 G17:G19" name="Regions_1_2"/>
    <protectedRange sqref="G6:G11 G25:G30 G17:G19" name="Process gas_7"/>
    <protectedRange password="DCF5" sqref="C6:E11 E12 C25:E30 E31 C17:E19" name="Regions_1"/>
    <protectedRange sqref="E6:F12 E25:F31 E17:F19" name="Process gas"/>
  </protectedRanges>
  <mergeCells count="51">
    <mergeCell ref="A34:D34"/>
    <mergeCell ref="E34:G34"/>
    <mergeCell ref="E31:G31"/>
    <mergeCell ref="E30:G30"/>
    <mergeCell ref="A33:D33"/>
    <mergeCell ref="E33:G33"/>
    <mergeCell ref="A30:D30"/>
    <mergeCell ref="A31:D31"/>
    <mergeCell ref="A32:D32"/>
    <mergeCell ref="E32:G32"/>
    <mergeCell ref="A27:D27"/>
    <mergeCell ref="E27:G27"/>
    <mergeCell ref="A28:D28"/>
    <mergeCell ref="A29:D29"/>
    <mergeCell ref="E29:G29"/>
    <mergeCell ref="A1:D1"/>
    <mergeCell ref="E1:G1"/>
    <mergeCell ref="B4:G4"/>
    <mergeCell ref="A5:G5"/>
    <mergeCell ref="A7:D7"/>
    <mergeCell ref="E7:F7"/>
    <mergeCell ref="A13:D13"/>
    <mergeCell ref="E13:G13"/>
    <mergeCell ref="A14:D14"/>
    <mergeCell ref="E14:G14"/>
    <mergeCell ref="E6:G6"/>
    <mergeCell ref="A6:D6"/>
    <mergeCell ref="E9:G9"/>
    <mergeCell ref="E8:G8"/>
    <mergeCell ref="A8:D8"/>
    <mergeCell ref="A9:D9"/>
    <mergeCell ref="A10:D10"/>
    <mergeCell ref="E10:G10"/>
    <mergeCell ref="A11:D11"/>
    <mergeCell ref="E11:F11"/>
    <mergeCell ref="A12:D12"/>
    <mergeCell ref="E12:F12"/>
    <mergeCell ref="A25:D25"/>
    <mergeCell ref="A26:D26"/>
    <mergeCell ref="E26:G26"/>
    <mergeCell ref="A24:G24"/>
    <mergeCell ref="E25:G25"/>
    <mergeCell ref="A21:G21"/>
    <mergeCell ref="A22:G22"/>
    <mergeCell ref="A16:G16"/>
    <mergeCell ref="A17:D17"/>
    <mergeCell ref="E17:G17"/>
    <mergeCell ref="A18:D18"/>
    <mergeCell ref="E18:G18"/>
    <mergeCell ref="A19:D19"/>
    <mergeCell ref="E19:G19"/>
  </mergeCells>
  <pageMargins left="0.7" right="0.7" top="0.75" bottom="0.75" header="0.3" footer="0.3"/>
  <pageSetup paperSize="9" orientation="portrait" r:id="rId1"/>
  <headerFooter>
    <oddHeader xml:space="preserve">&amp;C </oddHeader>
    <oddFooter>&amp;C&amp;9Please note further specifications in catalog. / Bitte weitere Spezifikationen dem Katalog entnehmen.</oddFooter>
  </headerFooter>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0000000}">
          <x14:formula1>
            <xm:f>lookups!$G$194:$G$195</xm:f>
          </x14:formula1>
          <xm:sqref>E14:G14</xm:sqref>
        </x14:dataValidation>
        <x14:dataValidation type="list" allowBlank="1" showInputMessage="1" showErrorMessage="1" xr:uid="{00000000-0002-0000-0400-000001000000}">
          <x14:formula1>
            <xm:f>lookups!$F$194:$F$196</xm:f>
          </x14:formula1>
          <xm:sqref>E13:G13</xm:sqref>
        </x14:dataValidation>
        <x14:dataValidation type="list" allowBlank="1" showInputMessage="1" showErrorMessage="1" xr:uid="{00000000-0002-0000-0400-000002000000}">
          <x14:formula1>
            <xm:f>lookups!$A$194:$A$196</xm:f>
          </x14:formula1>
          <xm:sqref>E7:F7</xm:sqref>
        </x14:dataValidation>
        <x14:dataValidation type="list" allowBlank="1" showInputMessage="1" showErrorMessage="1" xr:uid="{00000000-0002-0000-0400-000003000000}">
          <x14:formula1>
            <xm:f>lookups!$B$194:$B$197</xm:f>
          </x14:formula1>
          <xm:sqref>E8:G8</xm:sqref>
        </x14:dataValidation>
        <x14:dataValidation type="list" allowBlank="1" showInputMessage="1" showErrorMessage="1" xr:uid="{00000000-0002-0000-0400-000004000000}">
          <x14:formula1>
            <xm:f>lookups!$C$194:$C$196</xm:f>
          </x14:formula1>
          <xm:sqref>E9:G9</xm:sqref>
        </x14:dataValidation>
        <x14:dataValidation type="list" allowBlank="1" showInputMessage="1" showErrorMessage="1" xr:uid="{00000000-0002-0000-0400-000005000000}">
          <x14:formula1>
            <xm:f>lookups!$D$194:$D$196</xm:f>
          </x14:formula1>
          <xm:sqref>E10:G10</xm:sqref>
        </x14:dataValidation>
        <x14:dataValidation type="list" allowBlank="1" showInputMessage="1" showErrorMessage="1" xr:uid="{00000000-0002-0000-0400-000006000000}">
          <x14:formula1>
            <xm:f>lookups!$E$194:$E$200</xm:f>
          </x14:formula1>
          <xm:sqref>E11:F12</xm:sqref>
        </x14:dataValidation>
        <x14:dataValidation type="list" allowBlank="1" showInputMessage="1" showErrorMessage="1" xr:uid="{00000000-0002-0000-0400-000007000000}">
          <x14:formula1>
            <xm:f>lookups!$H$194:$H$196</xm:f>
          </x14:formula1>
          <xm:sqref>E25:G25</xm:sqref>
        </x14:dataValidation>
        <x14:dataValidation type="list" allowBlank="1" showInputMessage="1" showErrorMessage="1" xr:uid="{00000000-0002-0000-0400-000008000000}">
          <x14:formula1>
            <xm:f>lookups!$I$194:$I$196</xm:f>
          </x14:formula1>
          <xm:sqref>E32:G32</xm:sqref>
        </x14:dataValidation>
        <x14:dataValidation type="list" allowBlank="1" showInputMessage="1" showErrorMessage="1" xr:uid="{00000000-0002-0000-0400-000009000000}">
          <x14:formula1>
            <xm:f>lookups!$K$194:$K$196</xm:f>
          </x14:formula1>
          <xm:sqref>E34:G34</xm:sqref>
        </x14:dataValidation>
        <x14:dataValidation type="list" allowBlank="1" showInputMessage="1" showErrorMessage="1" xr:uid="{00000000-0002-0000-0400-00000A000000}">
          <x14:formula1>
            <xm:f>lookups!$AI$45:$AI$49</xm:f>
          </x14:formula1>
          <xm:sqref>E17:G17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O251"/>
  <sheetViews>
    <sheetView topLeftCell="AG1" zoomScaleNormal="100" workbookViewId="0">
      <selection activeCell="AI9" sqref="AI9"/>
    </sheetView>
  </sheetViews>
  <sheetFormatPr defaultColWidth="8.81640625" defaultRowHeight="12.5" x14ac:dyDescent="0.25"/>
  <cols>
    <col min="1" max="1" width="8.81640625" style="88"/>
    <col min="2" max="2" width="97.54296875" style="88" customWidth="1"/>
    <col min="3" max="3" width="9.1796875" style="88" customWidth="1"/>
    <col min="4" max="5" width="8.81640625" style="88"/>
    <col min="6" max="6" width="19.1796875" style="88" customWidth="1"/>
    <col min="7" max="7" width="8.81640625" style="88" customWidth="1"/>
    <col min="8" max="8" width="13" style="88" customWidth="1"/>
    <col min="9" max="9" width="19.26953125" style="88" customWidth="1"/>
    <col min="10" max="10" width="41.453125" style="88" customWidth="1"/>
    <col min="11" max="11" width="7.1796875" style="88" customWidth="1"/>
    <col min="12" max="12" width="8.81640625" style="88"/>
    <col min="13" max="13" width="38.453125" style="88" customWidth="1"/>
    <col min="14" max="14" width="8.81640625" style="88" customWidth="1"/>
    <col min="15" max="25" width="8.81640625" style="88"/>
    <col min="26" max="26" width="10.1796875" style="88" customWidth="1"/>
    <col min="27" max="31" width="8.81640625" style="88"/>
    <col min="32" max="32" width="103.453125" style="88" customWidth="1"/>
    <col min="33" max="34" width="8.81640625" style="88"/>
    <col min="35" max="35" width="121" style="88" customWidth="1"/>
    <col min="36" max="46" width="8.81640625" style="88"/>
    <col min="47" max="47" width="9.1796875" style="88" customWidth="1"/>
    <col min="48" max="16384" width="8.81640625" style="88"/>
  </cols>
  <sheetData>
    <row r="1" spans="1:62" ht="18" customHeight="1" x14ac:dyDescent="0.3">
      <c r="A1" s="84" t="s">
        <v>50</v>
      </c>
      <c r="B1" s="84" t="s">
        <v>51</v>
      </c>
      <c r="C1" s="84" t="s">
        <v>52</v>
      </c>
      <c r="D1" s="84" t="s">
        <v>53</v>
      </c>
      <c r="E1" s="84" t="s">
        <v>54</v>
      </c>
      <c r="F1" s="84" t="s">
        <v>55</v>
      </c>
      <c r="G1" s="85" t="s">
        <v>56</v>
      </c>
      <c r="H1" s="85" t="s">
        <v>57</v>
      </c>
      <c r="I1" s="85" t="s">
        <v>58</v>
      </c>
      <c r="J1" s="84" t="s">
        <v>59</v>
      </c>
      <c r="K1" s="84" t="s">
        <v>8</v>
      </c>
      <c r="L1" s="84" t="s">
        <v>60</v>
      </c>
      <c r="M1" s="84"/>
      <c r="N1" s="84" t="s">
        <v>61</v>
      </c>
      <c r="O1" s="85" t="s">
        <v>62</v>
      </c>
      <c r="P1" s="84" t="s">
        <v>63</v>
      </c>
      <c r="Q1" s="85" t="s">
        <v>64</v>
      </c>
      <c r="R1" s="84" t="s">
        <v>13</v>
      </c>
      <c r="S1" s="86" t="s">
        <v>57</v>
      </c>
      <c r="T1" s="84" t="s">
        <v>59</v>
      </c>
      <c r="U1" s="86" t="s">
        <v>65</v>
      </c>
      <c r="V1" s="84" t="s">
        <v>60</v>
      </c>
      <c r="W1" s="84"/>
      <c r="X1" s="87" t="s">
        <v>457</v>
      </c>
      <c r="Y1" s="85" t="s">
        <v>68</v>
      </c>
      <c r="Z1" s="85" t="s">
        <v>67</v>
      </c>
      <c r="AA1" s="85" t="s">
        <v>69</v>
      </c>
      <c r="AB1" s="85" t="s">
        <v>70</v>
      </c>
      <c r="AC1" s="86" t="s">
        <v>52</v>
      </c>
      <c r="AD1" s="86" t="s">
        <v>52</v>
      </c>
      <c r="AE1" s="88" t="s">
        <v>483</v>
      </c>
      <c r="AF1" s="91" t="s">
        <v>547</v>
      </c>
      <c r="AG1" s="90"/>
      <c r="AI1" s="91"/>
      <c r="AM1" s="84"/>
      <c r="AN1" s="84"/>
      <c r="AO1" s="84"/>
      <c r="AP1" s="84"/>
      <c r="AQ1" s="84"/>
      <c r="AR1" s="84"/>
      <c r="AS1" s="84"/>
      <c r="AT1" s="92" t="s">
        <v>71</v>
      </c>
      <c r="AU1" s="93" t="s">
        <v>72</v>
      </c>
      <c r="AV1" s="86" t="s">
        <v>52</v>
      </c>
      <c r="AW1" s="94" t="s">
        <v>76</v>
      </c>
      <c r="AX1" s="93" t="s">
        <v>77</v>
      </c>
      <c r="AY1" s="84" t="s">
        <v>52</v>
      </c>
      <c r="AZ1" s="94" t="s">
        <v>78</v>
      </c>
      <c r="BA1" s="91" t="s">
        <v>456</v>
      </c>
      <c r="BB1" s="84"/>
      <c r="BC1" s="84"/>
      <c r="BD1" s="84"/>
      <c r="BE1" s="84"/>
      <c r="BF1" s="84"/>
      <c r="BG1" s="84"/>
      <c r="BH1" s="84"/>
      <c r="BI1" s="84"/>
      <c r="BJ1" s="84"/>
    </row>
    <row r="2" spans="1:62" ht="15.75" customHeight="1" x14ac:dyDescent="0.3">
      <c r="A2" s="84" t="s">
        <v>48</v>
      </c>
      <c r="B2" s="84" t="s">
        <v>49</v>
      </c>
      <c r="C2" s="84" t="s">
        <v>52</v>
      </c>
      <c r="D2" s="84" t="s">
        <v>1</v>
      </c>
      <c r="E2" s="85" t="s">
        <v>2</v>
      </c>
      <c r="F2" s="85" t="s">
        <v>3</v>
      </c>
      <c r="G2" s="85" t="s">
        <v>4</v>
      </c>
      <c r="H2" s="84" t="s">
        <v>5</v>
      </c>
      <c r="I2" s="85" t="s">
        <v>6</v>
      </c>
      <c r="J2" s="85" t="s">
        <v>7</v>
      </c>
      <c r="K2" s="85" t="s">
        <v>8</v>
      </c>
      <c r="L2" s="85" t="s">
        <v>9</v>
      </c>
      <c r="M2" s="86" t="s">
        <v>52</v>
      </c>
      <c r="N2" s="87" t="s">
        <v>10</v>
      </c>
      <c r="O2" s="85" t="s">
        <v>11</v>
      </c>
      <c r="P2" s="85" t="s">
        <v>12</v>
      </c>
      <c r="Q2" s="85" t="s">
        <v>66</v>
      </c>
      <c r="R2" s="85" t="s">
        <v>13</v>
      </c>
      <c r="S2" s="85" t="s">
        <v>5</v>
      </c>
      <c r="T2" s="85" t="s">
        <v>7</v>
      </c>
      <c r="U2" s="85" t="s">
        <v>8</v>
      </c>
      <c r="V2" s="85" t="s">
        <v>9</v>
      </c>
      <c r="W2" s="86" t="s">
        <v>52</v>
      </c>
      <c r="X2" s="87" t="s">
        <v>458</v>
      </c>
      <c r="Y2" s="85" t="s">
        <v>74</v>
      </c>
      <c r="Z2" s="85" t="s">
        <v>538</v>
      </c>
      <c r="AA2" s="85" t="s">
        <v>75</v>
      </c>
      <c r="AB2" s="85" t="s">
        <v>14</v>
      </c>
      <c r="AC2" s="86" t="s">
        <v>52</v>
      </c>
      <c r="AD2" s="86" t="s">
        <v>52</v>
      </c>
      <c r="AE2" s="88" t="s">
        <v>482</v>
      </c>
      <c r="AF2" s="91" t="s">
        <v>548</v>
      </c>
      <c r="AG2" s="90"/>
      <c r="AI2" s="91"/>
      <c r="AM2" s="84"/>
      <c r="AN2" s="84"/>
      <c r="AO2" s="84"/>
      <c r="AP2" s="84"/>
      <c r="AQ2" s="84"/>
      <c r="AR2" s="84"/>
      <c r="AS2" s="84"/>
      <c r="AT2" s="84" t="s">
        <v>15</v>
      </c>
      <c r="AU2" s="84" t="s">
        <v>73</v>
      </c>
      <c r="AV2" s="86" t="s">
        <v>52</v>
      </c>
      <c r="AW2" s="94" t="s">
        <v>16</v>
      </c>
      <c r="AX2" s="91" t="s">
        <v>79</v>
      </c>
      <c r="AY2" s="84"/>
      <c r="AZ2" s="94" t="s">
        <v>17</v>
      </c>
      <c r="BA2" s="91" t="s">
        <v>455</v>
      </c>
      <c r="BB2" s="84"/>
      <c r="BC2" s="84"/>
      <c r="BD2" s="84"/>
      <c r="BE2" s="84"/>
      <c r="BF2" s="84"/>
      <c r="BG2" s="84"/>
      <c r="BH2" s="84"/>
      <c r="BI2" s="84"/>
      <c r="BJ2" s="84"/>
    </row>
    <row r="3" spans="1:62" x14ac:dyDescent="0.2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row>
    <row r="4" spans="1:62" x14ac:dyDescent="0.2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row>
    <row r="5" spans="1:62" ht="15.5" x14ac:dyDescent="0.25">
      <c r="A5" s="84"/>
      <c r="C5" s="84" t="s">
        <v>52</v>
      </c>
      <c r="D5" s="95"/>
      <c r="E5" s="84" t="s">
        <v>52</v>
      </c>
      <c r="F5" s="84"/>
      <c r="G5" s="84"/>
      <c r="I5" s="84"/>
      <c r="J5" s="84"/>
      <c r="K5" s="84"/>
      <c r="L5" s="84"/>
      <c r="M5" s="84"/>
      <c r="N5" s="84"/>
      <c r="O5" s="84"/>
      <c r="P5" s="84"/>
      <c r="Q5" s="84"/>
      <c r="R5" s="84"/>
      <c r="S5" s="84"/>
      <c r="T5" s="84"/>
      <c r="U5" s="84"/>
      <c r="V5" s="96"/>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row>
    <row r="6" spans="1:62" ht="15.5" x14ac:dyDescent="0.25">
      <c r="A6" s="84"/>
      <c r="B6" s="97"/>
      <c r="C6" s="84"/>
      <c r="D6" s="95"/>
      <c r="E6" s="84"/>
      <c r="F6" s="84"/>
      <c r="G6" s="84"/>
      <c r="I6" s="84"/>
      <c r="J6" s="84"/>
      <c r="K6" s="84"/>
      <c r="L6" s="84"/>
      <c r="M6" s="84"/>
      <c r="N6" s="84"/>
      <c r="O6" s="84"/>
      <c r="P6" s="84"/>
      <c r="Q6" s="84"/>
      <c r="R6" s="84"/>
      <c r="S6" s="84"/>
      <c r="T6" s="84"/>
      <c r="U6" s="84"/>
      <c r="V6" s="96"/>
      <c r="W6" s="84"/>
      <c r="X6" s="84"/>
      <c r="Y6" s="84"/>
      <c r="Z6" s="84"/>
      <c r="AA6" s="84"/>
      <c r="AB6" s="84"/>
      <c r="AC6" s="84"/>
      <c r="AD6" s="84"/>
      <c r="AE6" s="84"/>
      <c r="AF6" s="84"/>
      <c r="AG6" s="84"/>
      <c r="AH6" s="84"/>
      <c r="AI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row>
    <row r="7" spans="1:62" ht="15.5" x14ac:dyDescent="0.25">
      <c r="A7" s="84" t="s">
        <v>50</v>
      </c>
      <c r="B7" s="97"/>
      <c r="C7" s="84" t="s">
        <v>85</v>
      </c>
      <c r="D7" s="95" t="s">
        <v>81</v>
      </c>
      <c r="E7" s="84" t="s">
        <v>87</v>
      </c>
      <c r="F7" s="84" t="s">
        <v>52</v>
      </c>
      <c r="G7" s="84" t="s">
        <v>88</v>
      </c>
      <c r="H7" s="85" t="s">
        <v>89</v>
      </c>
      <c r="I7" s="98" t="s">
        <v>90</v>
      </c>
      <c r="J7" s="98" t="s">
        <v>91</v>
      </c>
      <c r="K7" s="88" t="s">
        <v>213</v>
      </c>
      <c r="L7" s="88" t="s">
        <v>353</v>
      </c>
      <c r="M7" s="99" t="s">
        <v>93</v>
      </c>
      <c r="N7" s="85" t="s">
        <v>94</v>
      </c>
      <c r="O7" s="98" t="s">
        <v>90</v>
      </c>
      <c r="P7" s="98" t="s">
        <v>91</v>
      </c>
      <c r="Q7" s="88" t="s">
        <v>213</v>
      </c>
      <c r="R7" s="88" t="s">
        <v>353</v>
      </c>
      <c r="S7" s="99" t="s">
        <v>93</v>
      </c>
      <c r="T7" s="85" t="s">
        <v>116</v>
      </c>
      <c r="U7" s="100" t="s">
        <v>96</v>
      </c>
      <c r="W7" s="85" t="s">
        <v>97</v>
      </c>
      <c r="X7" s="100" t="s">
        <v>96</v>
      </c>
      <c r="Z7" s="85" t="s">
        <v>118</v>
      </c>
      <c r="AA7" s="85" t="s">
        <v>98</v>
      </c>
      <c r="AB7" s="101" t="s">
        <v>96</v>
      </c>
      <c r="AC7" s="85" t="s">
        <v>107</v>
      </c>
      <c r="AD7" s="85" t="s">
        <v>99</v>
      </c>
      <c r="AE7" s="98" t="s">
        <v>100</v>
      </c>
      <c r="AJ7" s="85" t="s">
        <v>101</v>
      </c>
      <c r="AK7" s="85" t="s">
        <v>102</v>
      </c>
      <c r="AL7" s="85" t="s">
        <v>103</v>
      </c>
      <c r="AM7" s="85" t="s">
        <v>460</v>
      </c>
      <c r="AN7" s="85" t="s">
        <v>503</v>
      </c>
      <c r="AO7" s="85" t="s">
        <v>504</v>
      </c>
      <c r="AP7" s="85" t="s">
        <v>104</v>
      </c>
      <c r="AQ7" s="102" t="s">
        <v>105</v>
      </c>
      <c r="AU7" s="100" t="s">
        <v>133</v>
      </c>
      <c r="AV7" s="84" t="s">
        <v>134</v>
      </c>
      <c r="AW7" s="100" t="s">
        <v>480</v>
      </c>
      <c r="AX7" s="86" t="s">
        <v>108</v>
      </c>
      <c r="AY7" s="86" t="s">
        <v>109</v>
      </c>
      <c r="AZ7" s="86" t="s">
        <v>110</v>
      </c>
      <c r="BA7" s="84"/>
      <c r="BB7" s="84" t="s">
        <v>492</v>
      </c>
      <c r="BC7" s="84"/>
      <c r="BD7" s="84"/>
      <c r="BE7" s="84"/>
      <c r="BF7" s="84"/>
      <c r="BG7" s="84"/>
      <c r="BH7" s="84"/>
      <c r="BI7" s="84"/>
      <c r="BJ7" s="84"/>
    </row>
    <row r="8" spans="1:62" ht="15.5" x14ac:dyDescent="0.25">
      <c r="A8" s="84" t="s">
        <v>48</v>
      </c>
      <c r="B8" s="97"/>
      <c r="C8" s="84" t="s">
        <v>21</v>
      </c>
      <c r="D8" s="95" t="s">
        <v>82</v>
      </c>
      <c r="E8" s="84" t="s">
        <v>86</v>
      </c>
      <c r="F8" s="84" t="s">
        <v>52</v>
      </c>
      <c r="G8" s="85" t="s">
        <v>22</v>
      </c>
      <c r="H8" s="85" t="s">
        <v>23</v>
      </c>
      <c r="I8" s="98" t="s">
        <v>24</v>
      </c>
      <c r="J8" s="98" t="s">
        <v>25</v>
      </c>
      <c r="K8" s="88" t="s">
        <v>212</v>
      </c>
      <c r="L8" s="88" t="s">
        <v>354</v>
      </c>
      <c r="M8" s="98" t="s">
        <v>92</v>
      </c>
      <c r="N8" s="85" t="s">
        <v>37</v>
      </c>
      <c r="O8" s="98" t="s">
        <v>24</v>
      </c>
      <c r="P8" s="98" t="s">
        <v>25</v>
      </c>
      <c r="Q8" s="88" t="s">
        <v>212</v>
      </c>
      <c r="R8" s="88" t="s">
        <v>354</v>
      </c>
      <c r="S8" s="98" t="s">
        <v>92</v>
      </c>
      <c r="T8" s="85" t="s">
        <v>160</v>
      </c>
      <c r="U8" s="101" t="s">
        <v>95</v>
      </c>
      <c r="W8" s="85" t="s">
        <v>161</v>
      </c>
      <c r="X8" s="101" t="s">
        <v>95</v>
      </c>
      <c r="Z8" s="85" t="s">
        <v>43</v>
      </c>
      <c r="AA8" s="85" t="s">
        <v>162</v>
      </c>
      <c r="AB8" s="101" t="s">
        <v>95</v>
      </c>
      <c r="AC8" s="85" t="s">
        <v>26</v>
      </c>
      <c r="AD8" s="85" t="s">
        <v>27</v>
      </c>
      <c r="AE8" s="98" t="s">
        <v>46</v>
      </c>
      <c r="AJ8" s="85" t="s">
        <v>28</v>
      </c>
      <c r="AK8" s="85" t="s">
        <v>29</v>
      </c>
      <c r="AL8" s="85" t="s">
        <v>30</v>
      </c>
      <c r="AM8" s="85" t="s">
        <v>461</v>
      </c>
      <c r="AN8" s="85" t="s">
        <v>506</v>
      </c>
      <c r="AO8" s="85" t="s">
        <v>505</v>
      </c>
      <c r="AP8" s="85" t="s">
        <v>462</v>
      </c>
      <c r="AQ8" s="102" t="s">
        <v>31</v>
      </c>
      <c r="AU8" s="101" t="s">
        <v>133</v>
      </c>
      <c r="AV8" s="84" t="s">
        <v>123</v>
      </c>
      <c r="AW8" s="101" t="s">
        <v>481</v>
      </c>
      <c r="AX8" s="86" t="s">
        <v>18</v>
      </c>
      <c r="AY8" s="86" t="s">
        <v>39</v>
      </c>
      <c r="AZ8" s="86" t="s">
        <v>19</v>
      </c>
      <c r="BA8" s="84"/>
      <c r="BB8" s="84" t="s">
        <v>491</v>
      </c>
      <c r="BC8" s="84"/>
      <c r="BD8" s="84"/>
      <c r="BE8" s="84"/>
      <c r="BF8" s="84"/>
      <c r="BG8" s="84"/>
      <c r="BH8" s="84"/>
      <c r="BI8" s="84"/>
      <c r="BJ8" s="84"/>
    </row>
    <row r="9" spans="1:62" ht="15.5" x14ac:dyDescent="0.25">
      <c r="A9" s="84"/>
      <c r="B9" s="97"/>
      <c r="C9" s="84"/>
      <c r="D9" s="95"/>
      <c r="E9" s="84"/>
      <c r="F9" s="84"/>
      <c r="G9" s="84"/>
      <c r="I9" s="84"/>
      <c r="J9" s="84"/>
      <c r="K9" s="84"/>
      <c r="L9" s="84"/>
      <c r="M9" s="84"/>
      <c r="N9" s="84"/>
      <c r="O9" s="84"/>
      <c r="P9" s="84"/>
      <c r="Q9" s="84"/>
      <c r="R9" s="84"/>
      <c r="S9" s="84"/>
      <c r="T9" s="84"/>
      <c r="U9" s="84"/>
      <c r="V9" s="96"/>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row>
    <row r="10" spans="1:62" ht="15.5" x14ac:dyDescent="0.25">
      <c r="A10" s="84"/>
      <c r="B10" s="97"/>
      <c r="C10" s="84"/>
      <c r="D10" s="95"/>
      <c r="E10" s="84"/>
      <c r="F10" s="84"/>
      <c r="G10" s="84"/>
      <c r="I10" s="84"/>
      <c r="J10" s="84"/>
      <c r="K10" s="84"/>
      <c r="L10" s="84"/>
      <c r="M10" s="84"/>
      <c r="N10" s="84"/>
      <c r="O10" s="84"/>
      <c r="P10" s="84"/>
      <c r="Q10" s="84"/>
      <c r="R10" s="84"/>
      <c r="S10" s="84"/>
      <c r="T10" s="84"/>
      <c r="U10" s="84"/>
      <c r="V10" s="96"/>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row>
    <row r="11" spans="1:62" ht="15.5" x14ac:dyDescent="0.25">
      <c r="A11" s="84"/>
      <c r="B11" s="97"/>
      <c r="C11" s="84"/>
      <c r="D11" s="95"/>
      <c r="E11" s="84"/>
      <c r="F11" s="84"/>
      <c r="G11" s="84"/>
      <c r="I11" s="84"/>
      <c r="J11" s="84"/>
      <c r="K11" s="84"/>
      <c r="L11" s="84"/>
      <c r="M11" s="84"/>
      <c r="N11" s="84"/>
      <c r="O11" s="84"/>
      <c r="P11" s="84"/>
      <c r="Q11" s="84"/>
      <c r="R11" s="84"/>
      <c r="S11" s="84"/>
      <c r="T11" s="84"/>
      <c r="U11" s="84"/>
      <c r="V11" s="96"/>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row>
    <row r="12" spans="1:62" ht="15.5" x14ac:dyDescent="0.25">
      <c r="A12" s="84"/>
      <c r="B12" s="97"/>
      <c r="C12" s="84"/>
      <c r="D12" s="95"/>
      <c r="E12" s="84"/>
      <c r="F12" s="84"/>
      <c r="G12" s="84"/>
      <c r="I12" s="84"/>
      <c r="J12" s="84"/>
      <c r="K12" s="84"/>
      <c r="L12" s="84"/>
      <c r="M12" s="84"/>
      <c r="N12" s="84"/>
      <c r="O12" s="84"/>
      <c r="P12" s="84"/>
      <c r="Q12" s="84"/>
      <c r="R12" s="84"/>
      <c r="S12" s="84"/>
      <c r="T12" s="84"/>
      <c r="U12" s="84"/>
      <c r="V12" s="96"/>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row>
    <row r="13" spans="1:62" ht="15.5" x14ac:dyDescent="0.25">
      <c r="A13" s="84" t="s">
        <v>50</v>
      </c>
      <c r="B13" s="97"/>
      <c r="C13" s="92" t="s">
        <v>111</v>
      </c>
      <c r="D13" s="95" t="s">
        <v>83</v>
      </c>
      <c r="E13" s="98" t="s">
        <v>87</v>
      </c>
      <c r="F13" s="85" t="s">
        <v>88</v>
      </c>
      <c r="G13" s="98" t="s">
        <v>90</v>
      </c>
      <c r="H13" s="98" t="s">
        <v>91</v>
      </c>
      <c r="I13" s="98" t="s">
        <v>93</v>
      </c>
      <c r="J13" s="88" t="s">
        <v>213</v>
      </c>
      <c r="K13" s="88" t="s">
        <v>353</v>
      </c>
      <c r="L13" s="85" t="s">
        <v>116</v>
      </c>
      <c r="M13" s="103" t="s">
        <v>96</v>
      </c>
      <c r="O13" s="85" t="s">
        <v>117</v>
      </c>
      <c r="P13" s="103" t="s">
        <v>96</v>
      </c>
      <c r="R13" s="85" t="s">
        <v>118</v>
      </c>
      <c r="S13" s="85" t="s">
        <v>98</v>
      </c>
      <c r="T13" s="98" t="s">
        <v>96</v>
      </c>
      <c r="U13" s="85" t="s">
        <v>107</v>
      </c>
      <c r="V13" s="86" t="s">
        <v>99</v>
      </c>
      <c r="W13" s="86" t="s">
        <v>497</v>
      </c>
      <c r="Y13" s="86" t="s">
        <v>101</v>
      </c>
      <c r="Z13" s="96" t="s">
        <v>102</v>
      </c>
      <c r="AA13" s="86" t="s">
        <v>103</v>
      </c>
      <c r="AB13" s="86" t="s">
        <v>120</v>
      </c>
      <c r="AC13" s="86" t="s">
        <v>119</v>
      </c>
      <c r="AD13" s="85" t="s">
        <v>104</v>
      </c>
      <c r="AE13" s="85" t="s">
        <v>390</v>
      </c>
      <c r="AF13" s="102" t="s">
        <v>105</v>
      </c>
      <c r="AH13" s="84"/>
      <c r="AI13" s="84" t="s">
        <v>495</v>
      </c>
      <c r="AJ13" s="84" t="s">
        <v>499</v>
      </c>
      <c r="AK13" s="84"/>
      <c r="AL13" s="84"/>
      <c r="AM13" s="84" t="s">
        <v>502</v>
      </c>
      <c r="AN13" s="84"/>
      <c r="AO13" s="84"/>
      <c r="AP13" s="84"/>
      <c r="AQ13" s="84"/>
      <c r="AR13" s="84"/>
      <c r="AS13" s="84"/>
      <c r="AT13" s="84"/>
      <c r="AU13" s="84"/>
      <c r="AV13" s="84"/>
      <c r="AW13" s="84"/>
      <c r="AX13" s="84"/>
      <c r="AY13" s="84"/>
      <c r="AZ13" s="84"/>
      <c r="BA13" s="84"/>
      <c r="BB13" s="84"/>
      <c r="BC13" s="84"/>
      <c r="BD13" s="84"/>
      <c r="BE13" s="84"/>
      <c r="BF13" s="84"/>
      <c r="BG13" s="84"/>
      <c r="BH13" s="84"/>
      <c r="BI13" s="84"/>
      <c r="BJ13" s="84"/>
    </row>
    <row r="14" spans="1:62" ht="15.5" x14ac:dyDescent="0.25">
      <c r="A14" s="84" t="s">
        <v>48</v>
      </c>
      <c r="B14" s="97"/>
      <c r="C14" s="94" t="s">
        <v>449</v>
      </c>
      <c r="D14" s="95" t="s">
        <v>84</v>
      </c>
      <c r="E14" s="98" t="s">
        <v>86</v>
      </c>
      <c r="F14" s="85" t="s">
        <v>22</v>
      </c>
      <c r="G14" s="98" t="s">
        <v>24</v>
      </c>
      <c r="H14" s="98" t="s">
        <v>25</v>
      </c>
      <c r="I14" s="98" t="s">
        <v>92</v>
      </c>
      <c r="J14" s="88" t="s">
        <v>212</v>
      </c>
      <c r="K14" s="88" t="s">
        <v>354</v>
      </c>
      <c r="L14" s="85" t="s">
        <v>112</v>
      </c>
      <c r="M14" s="101" t="s">
        <v>95</v>
      </c>
      <c r="O14" s="85" t="s">
        <v>113</v>
      </c>
      <c r="P14" s="101" t="s">
        <v>95</v>
      </c>
      <c r="R14" s="85" t="s">
        <v>114</v>
      </c>
      <c r="S14" s="85" t="s">
        <v>115</v>
      </c>
      <c r="T14" s="100" t="s">
        <v>95</v>
      </c>
      <c r="U14" s="85" t="s">
        <v>26</v>
      </c>
      <c r="V14" s="85" t="s">
        <v>27</v>
      </c>
      <c r="W14" s="85" t="s">
        <v>498</v>
      </c>
      <c r="Y14" s="85" t="s">
        <v>28</v>
      </c>
      <c r="Z14" s="86" t="s">
        <v>29</v>
      </c>
      <c r="AA14" s="85" t="s">
        <v>30</v>
      </c>
      <c r="AB14" s="85" t="s">
        <v>106</v>
      </c>
      <c r="AC14" s="85" t="s">
        <v>32</v>
      </c>
      <c r="AD14" s="85" t="s">
        <v>462</v>
      </c>
      <c r="AE14" s="85" t="s">
        <v>389</v>
      </c>
      <c r="AF14" s="102" t="s">
        <v>31</v>
      </c>
      <c r="AH14" s="84"/>
      <c r="AI14" s="84" t="s">
        <v>496</v>
      </c>
      <c r="AJ14" s="84" t="s">
        <v>500</v>
      </c>
      <c r="AK14" s="84"/>
      <c r="AL14" s="84"/>
      <c r="AM14" s="84" t="s">
        <v>501</v>
      </c>
      <c r="AN14" s="84"/>
      <c r="AO14" s="84"/>
      <c r="AP14" s="84"/>
      <c r="AQ14" s="84"/>
      <c r="AR14" s="84"/>
      <c r="AS14" s="84"/>
      <c r="AT14" s="84"/>
      <c r="AU14" s="84"/>
      <c r="AV14" s="84"/>
      <c r="AW14" s="84"/>
      <c r="AX14" s="84"/>
      <c r="AY14" s="84"/>
      <c r="AZ14" s="84"/>
      <c r="BA14" s="84"/>
      <c r="BB14" s="84"/>
      <c r="BC14" s="84"/>
      <c r="BD14" s="84"/>
      <c r="BE14" s="84"/>
      <c r="BF14" s="84"/>
      <c r="BG14" s="84"/>
      <c r="BH14" s="84"/>
      <c r="BI14" s="84"/>
      <c r="BJ14" s="84"/>
    </row>
    <row r="15" spans="1:62" ht="15.5" x14ac:dyDescent="0.25">
      <c r="A15" s="84"/>
      <c r="B15" s="97"/>
      <c r="C15" s="84"/>
      <c r="D15" s="95"/>
      <c r="E15" s="84"/>
      <c r="F15" s="84"/>
      <c r="G15" s="84"/>
      <c r="I15" s="84"/>
      <c r="J15" s="84"/>
      <c r="K15" s="84"/>
      <c r="L15" s="84"/>
      <c r="M15" s="84"/>
      <c r="N15" s="84"/>
      <c r="O15" s="84"/>
      <c r="P15" s="84"/>
      <c r="Q15" s="84"/>
      <c r="R15" s="84"/>
      <c r="S15" s="84"/>
      <c r="T15" s="84"/>
      <c r="U15" s="84"/>
      <c r="V15" s="96"/>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row>
    <row r="16" spans="1:62" ht="15.5" x14ac:dyDescent="0.25">
      <c r="A16" s="84"/>
      <c r="B16" s="97"/>
      <c r="C16" s="84"/>
      <c r="D16" s="95"/>
      <c r="E16" s="84"/>
      <c r="F16" s="84"/>
      <c r="G16" s="84"/>
      <c r="I16" s="84"/>
      <c r="J16" s="84"/>
      <c r="K16" s="84"/>
      <c r="L16" s="84"/>
      <c r="M16" s="84"/>
      <c r="N16" s="84"/>
      <c r="O16" s="84"/>
      <c r="P16" s="84"/>
      <c r="Q16" s="84"/>
      <c r="R16" s="84"/>
      <c r="S16" s="84"/>
      <c r="T16" s="84"/>
      <c r="U16" s="84"/>
      <c r="V16" s="96"/>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row>
    <row r="17" spans="1:67" ht="15.5" x14ac:dyDescent="0.25">
      <c r="A17" s="84"/>
      <c r="B17" s="97"/>
      <c r="C17" s="84"/>
      <c r="D17" s="95"/>
      <c r="E17" s="84"/>
      <c r="F17" s="84"/>
      <c r="G17" s="84"/>
      <c r="I17" s="84"/>
      <c r="J17" s="84"/>
      <c r="K17" s="84"/>
      <c r="L17" s="84"/>
      <c r="M17" s="84"/>
      <c r="N17" s="84"/>
      <c r="O17" s="84"/>
      <c r="P17" s="84"/>
      <c r="Q17" s="84"/>
      <c r="R17" s="84"/>
      <c r="S17" s="84"/>
      <c r="T17" s="84"/>
      <c r="U17" s="84"/>
      <c r="V17" s="96"/>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row>
    <row r="18" spans="1:67" ht="15.5" x14ac:dyDescent="0.25">
      <c r="A18" s="84"/>
      <c r="B18" s="97"/>
      <c r="C18" s="84"/>
      <c r="D18" s="95"/>
      <c r="E18" s="84"/>
      <c r="F18" s="84"/>
      <c r="G18" s="84"/>
      <c r="I18" s="84"/>
      <c r="J18" s="84"/>
      <c r="K18" s="84"/>
      <c r="L18" s="84"/>
      <c r="M18" s="84"/>
      <c r="N18" s="84"/>
      <c r="O18" s="84"/>
      <c r="P18" s="84"/>
      <c r="Q18" s="84"/>
      <c r="R18" s="84"/>
      <c r="S18" s="84"/>
      <c r="T18" s="84"/>
      <c r="U18" s="84"/>
      <c r="V18" s="96"/>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row>
    <row r="19" spans="1:67" ht="15.5" x14ac:dyDescent="0.3">
      <c r="A19" s="84" t="s">
        <v>50</v>
      </c>
      <c r="B19" s="97"/>
      <c r="C19" s="92" t="s">
        <v>490</v>
      </c>
      <c r="D19" s="85" t="s">
        <v>539</v>
      </c>
      <c r="E19" s="84" t="s">
        <v>52</v>
      </c>
      <c r="F19" s="104" t="s">
        <v>129</v>
      </c>
      <c r="I19" s="104" t="s">
        <v>128</v>
      </c>
      <c r="L19" s="104" t="s">
        <v>127</v>
      </c>
      <c r="O19" s="104" t="s">
        <v>540</v>
      </c>
      <c r="R19" s="104" t="s">
        <v>171</v>
      </c>
      <c r="U19" s="88" t="s">
        <v>135</v>
      </c>
      <c r="V19" s="84" t="s">
        <v>126</v>
      </c>
      <c r="X19" s="88" t="s">
        <v>135</v>
      </c>
      <c r="Y19" s="84" t="s">
        <v>126</v>
      </c>
      <c r="AA19" s="88" t="s">
        <v>135</v>
      </c>
      <c r="AB19" s="84" t="s">
        <v>126</v>
      </c>
      <c r="AD19" s="88" t="s">
        <v>135</v>
      </c>
      <c r="AE19" s="84" t="s">
        <v>126</v>
      </c>
      <c r="AG19" s="85" t="s">
        <v>131</v>
      </c>
      <c r="AH19" s="86" t="s">
        <v>468</v>
      </c>
      <c r="AI19" s="84"/>
      <c r="AJ19" s="88" t="s">
        <v>464</v>
      </c>
      <c r="AK19" s="84" t="s">
        <v>466</v>
      </c>
      <c r="AL19" s="88" t="s">
        <v>525</v>
      </c>
      <c r="AO19" s="84" t="s">
        <v>132</v>
      </c>
      <c r="AQ19" s="88" t="s">
        <v>469</v>
      </c>
      <c r="AR19" s="88" t="s">
        <v>471</v>
      </c>
      <c r="AU19" s="95" t="s">
        <v>474</v>
      </c>
      <c r="AV19" s="84" t="s">
        <v>450</v>
      </c>
      <c r="AW19" s="88" t="s">
        <v>452</v>
      </c>
      <c r="AX19" s="84" t="s">
        <v>108</v>
      </c>
      <c r="AY19" s="84" t="s">
        <v>109</v>
      </c>
      <c r="AZ19" s="84" t="s">
        <v>110</v>
      </c>
      <c r="BA19" s="84" t="s">
        <v>133</v>
      </c>
      <c r="BB19" s="84" t="s">
        <v>134</v>
      </c>
      <c r="BK19" s="84"/>
    </row>
    <row r="20" spans="1:67" ht="15.5" x14ac:dyDescent="0.3">
      <c r="A20" s="84" t="s">
        <v>48</v>
      </c>
      <c r="B20" s="97"/>
      <c r="C20" s="94" t="s">
        <v>541</v>
      </c>
      <c r="D20" s="87" t="s">
        <v>121</v>
      </c>
      <c r="E20" s="84"/>
      <c r="F20" s="104" t="s">
        <v>122</v>
      </c>
      <c r="G20" s="84"/>
      <c r="I20" s="104" t="s">
        <v>124</v>
      </c>
      <c r="J20" s="84"/>
      <c r="L20" s="104" t="s">
        <v>125</v>
      </c>
      <c r="M20" s="84"/>
      <c r="O20" s="104" t="s">
        <v>540</v>
      </c>
      <c r="P20" s="84"/>
      <c r="R20" s="104" t="s">
        <v>171</v>
      </c>
      <c r="S20" s="84"/>
      <c r="U20" s="84" t="s">
        <v>473</v>
      </c>
      <c r="V20" s="84" t="s">
        <v>41</v>
      </c>
      <c r="X20" s="84" t="s">
        <v>473</v>
      </c>
      <c r="Y20" s="84" t="s">
        <v>41</v>
      </c>
      <c r="AA20" s="84" t="s">
        <v>473</v>
      </c>
      <c r="AB20" s="84" t="s">
        <v>41</v>
      </c>
      <c r="AD20" s="84" t="s">
        <v>473</v>
      </c>
      <c r="AE20" s="84" t="s">
        <v>41</v>
      </c>
      <c r="AG20" s="85" t="s">
        <v>130</v>
      </c>
      <c r="AH20" s="105" t="s">
        <v>52</v>
      </c>
      <c r="AI20" s="84"/>
      <c r="AJ20" s="88" t="s">
        <v>463</v>
      </c>
      <c r="AK20" s="84" t="s">
        <v>465</v>
      </c>
      <c r="AL20" s="88" t="s">
        <v>467</v>
      </c>
      <c r="AO20" s="84" t="s">
        <v>20</v>
      </c>
      <c r="AQ20" s="88" t="s">
        <v>470</v>
      </c>
      <c r="AR20" s="88" t="s">
        <v>472</v>
      </c>
      <c r="AU20" s="95" t="s">
        <v>453</v>
      </c>
      <c r="AV20" s="84" t="s">
        <v>454</v>
      </c>
      <c r="AW20" s="88" t="s">
        <v>451</v>
      </c>
      <c r="AX20" s="84" t="s">
        <v>18</v>
      </c>
      <c r="AY20" s="84" t="s">
        <v>39</v>
      </c>
      <c r="AZ20" s="84" t="s">
        <v>19</v>
      </c>
      <c r="BA20" s="84" t="s">
        <v>133</v>
      </c>
      <c r="BB20" s="84" t="s">
        <v>123</v>
      </c>
      <c r="BK20" s="84"/>
    </row>
    <row r="21" spans="1:67" ht="15.5" x14ac:dyDescent="0.25">
      <c r="A21" s="84"/>
      <c r="B21" s="97"/>
      <c r="C21" s="84"/>
      <c r="D21" s="95"/>
      <c r="E21" s="84"/>
      <c r="F21" s="84"/>
      <c r="G21" s="84"/>
      <c r="I21" s="84"/>
      <c r="J21" s="84"/>
      <c r="K21" s="84"/>
      <c r="L21" s="84"/>
      <c r="M21" s="84"/>
      <c r="N21" s="84"/>
      <c r="O21" s="84"/>
      <c r="P21" s="84"/>
      <c r="Q21" s="84"/>
      <c r="R21" s="84"/>
      <c r="S21" s="84"/>
      <c r="T21" s="84"/>
      <c r="U21" s="84"/>
      <c r="V21" s="96"/>
      <c r="W21" s="84"/>
      <c r="X21" s="84"/>
      <c r="Y21" s="84"/>
      <c r="Z21" s="84"/>
      <c r="AA21" s="84"/>
      <c r="AB21" s="84"/>
      <c r="AC21" s="84"/>
      <c r="AD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row>
    <row r="22" spans="1:67" ht="15.5" x14ac:dyDescent="0.25">
      <c r="A22" s="84"/>
      <c r="B22" s="97"/>
      <c r="C22" s="84"/>
      <c r="D22" s="95"/>
      <c r="E22" s="84"/>
      <c r="F22" s="84"/>
      <c r="G22" s="84"/>
      <c r="I22" s="84"/>
      <c r="J22" s="84"/>
      <c r="K22" s="84"/>
      <c r="L22" s="84"/>
      <c r="M22" s="84"/>
      <c r="N22" s="84"/>
      <c r="O22" s="84"/>
      <c r="P22" s="84"/>
      <c r="Q22" s="84"/>
      <c r="R22" s="84"/>
      <c r="S22" s="84"/>
      <c r="T22" s="84"/>
      <c r="U22" s="84"/>
      <c r="V22" s="96"/>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row>
    <row r="23" spans="1:67" ht="15.5" x14ac:dyDescent="0.25">
      <c r="A23" s="84"/>
      <c r="B23" s="97"/>
      <c r="C23" s="84"/>
      <c r="D23" s="95"/>
      <c r="E23" s="84"/>
      <c r="F23" s="84"/>
      <c r="G23" s="84"/>
      <c r="I23" s="84"/>
      <c r="J23" s="84"/>
      <c r="K23" s="84"/>
      <c r="L23" s="84"/>
      <c r="M23" s="84"/>
      <c r="N23" s="84"/>
      <c r="O23" s="84"/>
      <c r="P23" s="84"/>
      <c r="Q23" s="84"/>
      <c r="R23" s="84"/>
      <c r="S23" s="84"/>
      <c r="T23" s="84"/>
      <c r="U23" s="84"/>
      <c r="V23" s="96"/>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row>
    <row r="24" spans="1:67" ht="15.5" x14ac:dyDescent="0.25">
      <c r="A24" s="84"/>
      <c r="B24" s="97"/>
      <c r="C24" s="84"/>
      <c r="D24" s="95"/>
      <c r="E24" s="84"/>
      <c r="F24" s="84"/>
      <c r="G24" s="84"/>
      <c r="I24" s="84"/>
      <c r="J24" s="84"/>
      <c r="K24" s="84"/>
      <c r="L24" s="84"/>
      <c r="M24" s="84"/>
      <c r="N24" s="84"/>
      <c r="O24" s="84"/>
      <c r="P24" s="84"/>
      <c r="Q24" s="84"/>
      <c r="R24" s="84"/>
      <c r="S24" s="84"/>
      <c r="T24" s="84"/>
      <c r="U24" s="84"/>
      <c r="V24" s="96"/>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row>
    <row r="25" spans="1:67" ht="13.15" customHeight="1" x14ac:dyDescent="0.25">
      <c r="A25" s="84" t="s">
        <v>50</v>
      </c>
      <c r="B25" s="97"/>
      <c r="C25" s="106" t="s">
        <v>542</v>
      </c>
      <c r="D25" s="95"/>
      <c r="E25" s="107" t="s">
        <v>387</v>
      </c>
      <c r="F25" s="84"/>
      <c r="G25" s="85" t="s">
        <v>146</v>
      </c>
      <c r="H25" s="98" t="s">
        <v>90</v>
      </c>
      <c r="I25" s="98" t="s">
        <v>136</v>
      </c>
      <c r="J25" s="98" t="s">
        <v>137</v>
      </c>
      <c r="L25" s="98" t="s">
        <v>138</v>
      </c>
      <c r="N25" s="85" t="s">
        <v>145</v>
      </c>
      <c r="O25" s="98" t="s">
        <v>90</v>
      </c>
      <c r="P25" s="98" t="s">
        <v>136</v>
      </c>
      <c r="Q25" s="98" t="s">
        <v>137</v>
      </c>
      <c r="S25" s="98" t="s">
        <v>138</v>
      </c>
      <c r="U25" s="85" t="s">
        <v>384</v>
      </c>
      <c r="V25" s="88" t="s">
        <v>385</v>
      </c>
      <c r="W25" s="85" t="s">
        <v>252</v>
      </c>
      <c r="X25" s="98" t="s">
        <v>139</v>
      </c>
      <c r="Y25" s="85" t="s">
        <v>257</v>
      </c>
      <c r="Z25" s="98" t="s">
        <v>139</v>
      </c>
      <c r="AA25" s="85" t="s">
        <v>118</v>
      </c>
      <c r="AB25" s="85" t="s">
        <v>98</v>
      </c>
      <c r="AC25" s="85" t="s">
        <v>99</v>
      </c>
      <c r="AD25" s="98" t="s">
        <v>262</v>
      </c>
      <c r="AH25" s="98" t="s">
        <v>140</v>
      </c>
      <c r="AI25" s="85" t="s">
        <v>141</v>
      </c>
      <c r="AJ25" s="88" t="s">
        <v>269</v>
      </c>
      <c r="AK25" s="84"/>
      <c r="AL25" s="102" t="s">
        <v>105</v>
      </c>
      <c r="AM25" s="84"/>
      <c r="AN25" s="84" t="s">
        <v>334</v>
      </c>
      <c r="AO25" s="84" t="s">
        <v>335</v>
      </c>
      <c r="AP25" s="84" t="s">
        <v>52</v>
      </c>
      <c r="AS25" s="84" t="s">
        <v>336</v>
      </c>
      <c r="AT25" s="84" t="s">
        <v>52</v>
      </c>
      <c r="AU25" s="84" t="s">
        <v>338</v>
      </c>
      <c r="AV25" s="84" t="s">
        <v>52</v>
      </c>
      <c r="AW25" s="84" t="s">
        <v>337</v>
      </c>
      <c r="AX25" s="84" t="s">
        <v>52</v>
      </c>
      <c r="AY25" s="84" t="s">
        <v>341</v>
      </c>
      <c r="AZ25" s="84" t="s">
        <v>265</v>
      </c>
      <c r="BA25" s="84" t="s">
        <v>339</v>
      </c>
      <c r="BB25" s="84" t="s">
        <v>344</v>
      </c>
      <c r="BC25" s="84" t="s">
        <v>371</v>
      </c>
      <c r="BD25" s="84" t="s">
        <v>372</v>
      </c>
      <c r="BE25" s="84"/>
      <c r="BF25" s="84"/>
      <c r="BG25" s="84"/>
      <c r="BH25" s="84"/>
      <c r="BI25" s="86" t="s">
        <v>108</v>
      </c>
      <c r="BJ25" s="86" t="s">
        <v>109</v>
      </c>
      <c r="BK25" s="86" t="s">
        <v>110</v>
      </c>
      <c r="BN25" s="86"/>
      <c r="BO25" s="86"/>
    </row>
    <row r="26" spans="1:67" ht="13.15" customHeight="1" x14ac:dyDescent="0.35">
      <c r="A26" s="84" t="s">
        <v>48</v>
      </c>
      <c r="B26" s="97"/>
      <c r="C26" s="108" t="s">
        <v>543</v>
      </c>
      <c r="D26" s="95"/>
      <c r="E26" s="107" t="s">
        <v>388</v>
      </c>
      <c r="F26" s="84"/>
      <c r="G26" s="85" t="s">
        <v>147</v>
      </c>
      <c r="H26" s="98" t="s">
        <v>143</v>
      </c>
      <c r="I26" s="98" t="s">
        <v>36</v>
      </c>
      <c r="J26" s="98" t="s">
        <v>33</v>
      </c>
      <c r="L26" s="98" t="s">
        <v>34</v>
      </c>
      <c r="N26" s="85" t="s">
        <v>144</v>
      </c>
      <c r="O26" s="98" t="s">
        <v>143</v>
      </c>
      <c r="P26" s="98" t="s">
        <v>36</v>
      </c>
      <c r="Q26" s="98" t="s">
        <v>33</v>
      </c>
      <c r="S26" s="98" t="s">
        <v>34</v>
      </c>
      <c r="U26" s="85" t="s">
        <v>383</v>
      </c>
      <c r="V26" s="88" t="s">
        <v>386</v>
      </c>
      <c r="W26" s="85" t="s">
        <v>251</v>
      </c>
      <c r="X26" s="98" t="s">
        <v>148</v>
      </c>
      <c r="Y26" s="85" t="s">
        <v>258</v>
      </c>
      <c r="Z26" s="98" t="s">
        <v>148</v>
      </c>
      <c r="AA26" s="85" t="s">
        <v>114</v>
      </c>
      <c r="AB26" s="85" t="s">
        <v>115</v>
      </c>
      <c r="AC26" s="85" t="s">
        <v>27</v>
      </c>
      <c r="AD26" s="98" t="s">
        <v>263</v>
      </c>
      <c r="AH26" s="98" t="s">
        <v>149</v>
      </c>
      <c r="AI26" s="85" t="s">
        <v>150</v>
      </c>
      <c r="AJ26" s="88" t="s">
        <v>270</v>
      </c>
      <c r="AK26" s="84"/>
      <c r="AL26" s="102" t="s">
        <v>20</v>
      </c>
      <c r="AM26" s="84"/>
      <c r="AN26" s="84" t="s">
        <v>343</v>
      </c>
      <c r="AO26" s="84" t="s">
        <v>349</v>
      </c>
      <c r="AP26" s="84" t="s">
        <v>52</v>
      </c>
      <c r="AS26" s="84" t="s">
        <v>346</v>
      </c>
      <c r="AT26" s="84" t="s">
        <v>52</v>
      </c>
      <c r="AU26" s="84" t="s">
        <v>347</v>
      </c>
      <c r="AV26" s="84" t="s">
        <v>52</v>
      </c>
      <c r="AW26" s="84" t="s">
        <v>348</v>
      </c>
      <c r="AX26" s="84" t="s">
        <v>52</v>
      </c>
      <c r="AY26" s="84" t="s">
        <v>342</v>
      </c>
      <c r="AZ26" s="84" t="s">
        <v>266</v>
      </c>
      <c r="BA26" s="84" t="s">
        <v>340</v>
      </c>
      <c r="BB26" s="84" t="s">
        <v>345</v>
      </c>
      <c r="BC26" s="84" t="s">
        <v>373</v>
      </c>
      <c r="BD26" s="84" t="s">
        <v>374</v>
      </c>
      <c r="BE26" s="84"/>
      <c r="BF26" s="84"/>
      <c r="BG26" s="84"/>
      <c r="BH26" s="84"/>
      <c r="BI26" s="86" t="s">
        <v>18</v>
      </c>
      <c r="BJ26" s="86" t="s">
        <v>39</v>
      </c>
      <c r="BK26" s="86" t="s">
        <v>19</v>
      </c>
      <c r="BN26" s="86"/>
      <c r="BO26" s="86"/>
    </row>
    <row r="27" spans="1:67" ht="15.5" x14ac:dyDescent="0.25">
      <c r="A27" s="84"/>
      <c r="B27" s="97"/>
      <c r="C27" s="84"/>
      <c r="D27" s="95"/>
      <c r="E27" s="84"/>
      <c r="F27" s="84"/>
      <c r="G27" s="84"/>
      <c r="I27" s="84"/>
      <c r="J27" s="84"/>
      <c r="K27" s="84"/>
      <c r="L27" s="84"/>
      <c r="M27" s="84"/>
      <c r="N27" s="84"/>
      <c r="O27" s="84"/>
      <c r="P27" s="84"/>
      <c r="Q27" s="84"/>
      <c r="R27" s="84"/>
      <c r="S27" s="84"/>
      <c r="T27" s="84"/>
      <c r="U27" s="84"/>
      <c r="V27" s="96"/>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row>
    <row r="28" spans="1:67" ht="15.5" x14ac:dyDescent="0.25">
      <c r="A28" s="84"/>
      <c r="B28" s="97"/>
      <c r="C28" s="84"/>
      <c r="D28" s="95"/>
      <c r="E28" s="84"/>
      <c r="F28" s="84"/>
      <c r="G28" s="84"/>
      <c r="I28" s="84"/>
      <c r="J28" s="84"/>
      <c r="K28" s="84"/>
      <c r="L28" s="84"/>
      <c r="M28" s="84"/>
      <c r="N28" s="84"/>
      <c r="O28" s="84"/>
      <c r="P28" s="84"/>
      <c r="Q28" s="84"/>
      <c r="R28" s="84"/>
      <c r="S28" s="84"/>
      <c r="T28" s="84"/>
      <c r="U28" s="84"/>
      <c r="V28" s="96"/>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row>
    <row r="29" spans="1:67" ht="15.5" x14ac:dyDescent="0.25">
      <c r="A29" s="84"/>
      <c r="B29" s="97"/>
      <c r="C29" s="84"/>
      <c r="D29" s="95"/>
      <c r="E29" s="84"/>
      <c r="F29" s="84"/>
      <c r="G29" s="84"/>
      <c r="I29" s="84"/>
      <c r="J29" s="84"/>
      <c r="K29" s="84"/>
      <c r="L29" s="84"/>
      <c r="M29" s="84"/>
      <c r="N29" s="84"/>
      <c r="O29" s="84"/>
      <c r="P29" s="84"/>
      <c r="Q29" s="84"/>
      <c r="R29" s="84"/>
      <c r="S29" s="84"/>
      <c r="T29" s="84"/>
      <c r="U29" s="84"/>
      <c r="V29" s="96"/>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row>
    <row r="30" spans="1:67" ht="15.5" x14ac:dyDescent="0.25">
      <c r="A30" s="84"/>
      <c r="B30" s="97"/>
      <c r="C30" s="84"/>
      <c r="D30" s="95"/>
      <c r="E30" s="84"/>
      <c r="F30" s="84"/>
      <c r="G30" s="84"/>
      <c r="I30" s="84"/>
      <c r="J30" s="84"/>
      <c r="K30" s="84"/>
      <c r="L30" s="84"/>
      <c r="M30" s="84"/>
      <c r="N30" s="84"/>
      <c r="O30" s="84"/>
      <c r="P30" s="84"/>
      <c r="Q30" s="84"/>
      <c r="R30" s="84"/>
      <c r="S30" s="84"/>
      <c r="T30" s="84"/>
      <c r="U30" s="84"/>
      <c r="V30" s="96"/>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row>
    <row r="31" spans="1:67" ht="21.65" customHeight="1" x14ac:dyDescent="0.25">
      <c r="A31" s="84" t="s">
        <v>50</v>
      </c>
      <c r="B31" s="97"/>
      <c r="C31" s="106" t="s">
        <v>351</v>
      </c>
      <c r="D31" s="95"/>
      <c r="E31" s="107" t="s">
        <v>352</v>
      </c>
      <c r="F31" s="85" t="s">
        <v>146</v>
      </c>
      <c r="G31" s="98" t="s">
        <v>90</v>
      </c>
      <c r="H31" s="98" t="s">
        <v>136</v>
      </c>
      <c r="I31" s="98" t="s">
        <v>137</v>
      </c>
      <c r="K31" s="85" t="s">
        <v>369</v>
      </c>
      <c r="M31" s="85" t="s">
        <v>252</v>
      </c>
      <c r="N31" s="98" t="s">
        <v>139</v>
      </c>
      <c r="O31" s="85" t="s">
        <v>257</v>
      </c>
      <c r="P31" s="98" t="s">
        <v>139</v>
      </c>
      <c r="Q31" s="85" t="s">
        <v>118</v>
      </c>
      <c r="R31" s="85" t="s">
        <v>98</v>
      </c>
      <c r="S31" s="85" t="s">
        <v>99</v>
      </c>
      <c r="T31" s="98" t="s">
        <v>262</v>
      </c>
      <c r="W31" s="98" t="s">
        <v>140</v>
      </c>
      <c r="X31" s="85" t="s">
        <v>141</v>
      </c>
      <c r="Y31" s="88" t="s">
        <v>269</v>
      </c>
      <c r="Z31" s="102" t="s">
        <v>105</v>
      </c>
      <c r="AC31" s="84" t="s">
        <v>334</v>
      </c>
      <c r="AD31" s="84" t="s">
        <v>375</v>
      </c>
      <c r="AG31" s="84"/>
      <c r="AH31" s="84" t="s">
        <v>341</v>
      </c>
      <c r="AI31" s="84"/>
      <c r="AJ31" s="84"/>
      <c r="AV31" s="84"/>
      <c r="AZ31" s="84" t="s">
        <v>265</v>
      </c>
      <c r="BA31" s="84" t="s">
        <v>339</v>
      </c>
      <c r="BB31" s="84" t="s">
        <v>344</v>
      </c>
      <c r="BC31" s="84"/>
      <c r="BD31" s="84"/>
      <c r="BE31" s="84"/>
      <c r="BF31" s="84"/>
      <c r="BG31" s="84"/>
      <c r="BH31" s="84"/>
      <c r="BI31" s="84"/>
      <c r="BJ31" s="84"/>
    </row>
    <row r="32" spans="1:67" ht="25.15" customHeight="1" x14ac:dyDescent="0.35">
      <c r="A32" s="84" t="s">
        <v>48</v>
      </c>
      <c r="B32" s="97"/>
      <c r="C32" s="108" t="s">
        <v>350</v>
      </c>
      <c r="D32" s="95"/>
      <c r="E32" s="107" t="s">
        <v>142</v>
      </c>
      <c r="F32" s="85" t="s">
        <v>147</v>
      </c>
      <c r="G32" s="98" t="s">
        <v>143</v>
      </c>
      <c r="H32" s="98" t="s">
        <v>36</v>
      </c>
      <c r="I32" s="98" t="s">
        <v>33</v>
      </c>
      <c r="K32" s="85" t="s">
        <v>376</v>
      </c>
      <c r="M32" s="85" t="s">
        <v>251</v>
      </c>
      <c r="N32" s="98" t="s">
        <v>148</v>
      </c>
      <c r="O32" s="85" t="s">
        <v>258</v>
      </c>
      <c r="P32" s="98" t="s">
        <v>148</v>
      </c>
      <c r="Q32" s="85" t="s">
        <v>114</v>
      </c>
      <c r="R32" s="85" t="s">
        <v>115</v>
      </c>
      <c r="S32" s="85" t="s">
        <v>27</v>
      </c>
      <c r="T32" s="98" t="s">
        <v>263</v>
      </c>
      <c r="W32" s="98" t="s">
        <v>149</v>
      </c>
      <c r="X32" s="85" t="s">
        <v>150</v>
      </c>
      <c r="Y32" s="88" t="s">
        <v>270</v>
      </c>
      <c r="Z32" s="102" t="s">
        <v>20</v>
      </c>
      <c r="AC32" s="84" t="s">
        <v>343</v>
      </c>
      <c r="AD32" s="84" t="s">
        <v>375</v>
      </c>
      <c r="AG32" s="84"/>
      <c r="AH32" s="84" t="s">
        <v>342</v>
      </c>
      <c r="AI32" s="84"/>
      <c r="AJ32" s="84"/>
      <c r="AV32" s="84"/>
      <c r="AZ32" s="84" t="s">
        <v>266</v>
      </c>
      <c r="BA32" s="84" t="s">
        <v>340</v>
      </c>
      <c r="BB32" s="84" t="s">
        <v>345</v>
      </c>
      <c r="BC32" s="84"/>
      <c r="BD32" s="84"/>
      <c r="BE32" s="84"/>
      <c r="BF32" s="84"/>
      <c r="BG32" s="84"/>
      <c r="BH32" s="84"/>
      <c r="BI32" s="84"/>
      <c r="BJ32" s="84"/>
    </row>
    <row r="33" spans="1:62" ht="15.5" x14ac:dyDescent="0.25">
      <c r="A33" s="84"/>
      <c r="B33" s="97"/>
      <c r="C33" s="84"/>
      <c r="D33" s="95"/>
      <c r="E33" s="84"/>
      <c r="F33" s="84"/>
      <c r="G33" s="84"/>
      <c r="I33" s="84"/>
      <c r="J33" s="84"/>
      <c r="K33" s="84"/>
      <c r="L33" s="84"/>
      <c r="M33" s="84"/>
      <c r="N33" s="84"/>
      <c r="O33" s="84"/>
      <c r="P33" s="84"/>
      <c r="Q33" s="84"/>
      <c r="R33" s="84"/>
      <c r="S33" s="84"/>
      <c r="T33" s="84"/>
      <c r="U33" s="84"/>
      <c r="V33" s="96"/>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row>
    <row r="34" spans="1:62" ht="15.5" x14ac:dyDescent="0.25">
      <c r="A34" s="84"/>
      <c r="B34" s="97"/>
      <c r="C34" s="84"/>
      <c r="D34" s="95"/>
      <c r="E34" s="84"/>
      <c r="F34" s="84"/>
      <c r="G34" s="84"/>
      <c r="I34" s="84"/>
      <c r="J34" s="84"/>
      <c r="K34" s="84"/>
      <c r="L34" s="84"/>
      <c r="M34" s="84"/>
      <c r="N34" s="84"/>
      <c r="O34" s="84"/>
      <c r="P34" s="84"/>
      <c r="Q34" s="84"/>
      <c r="R34" s="84"/>
      <c r="S34" s="84"/>
      <c r="T34" s="84"/>
      <c r="U34" s="84"/>
      <c r="V34" s="96"/>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row>
    <row r="35" spans="1:62" ht="15.5" x14ac:dyDescent="0.25">
      <c r="A35" s="84"/>
      <c r="B35" s="97"/>
      <c r="C35" s="84"/>
      <c r="D35" s="95"/>
      <c r="E35" s="84"/>
      <c r="F35" s="84"/>
      <c r="G35" s="84"/>
      <c r="I35" s="84"/>
      <c r="J35" s="84"/>
      <c r="K35" s="84"/>
      <c r="L35" s="84"/>
      <c r="M35" s="84"/>
      <c r="N35" s="84"/>
      <c r="O35" s="84"/>
      <c r="P35" s="84"/>
      <c r="Q35" s="84"/>
      <c r="R35" s="84"/>
      <c r="S35" s="84"/>
      <c r="T35" s="84"/>
      <c r="U35" s="84"/>
      <c r="V35" s="96"/>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row>
    <row r="36" spans="1:62" ht="15.5" x14ac:dyDescent="0.25">
      <c r="A36" s="84"/>
      <c r="B36" s="97"/>
      <c r="C36" s="84"/>
      <c r="D36" s="95"/>
      <c r="E36" s="84"/>
      <c r="F36" s="84"/>
      <c r="G36" s="84"/>
      <c r="I36" s="84"/>
      <c r="J36" s="84"/>
      <c r="K36" s="84"/>
      <c r="L36" s="84"/>
      <c r="M36" s="84"/>
      <c r="N36" s="84"/>
      <c r="O36" s="84"/>
      <c r="P36" s="84"/>
      <c r="Q36" s="84"/>
      <c r="R36" s="84"/>
      <c r="S36" s="84"/>
      <c r="T36" s="84"/>
      <c r="U36" s="84"/>
      <c r="V36" s="96"/>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row>
    <row r="37" spans="1:62" ht="15.5" x14ac:dyDescent="0.25">
      <c r="A37" s="84" t="s">
        <v>50</v>
      </c>
      <c r="B37" s="97" t="s">
        <v>80</v>
      </c>
      <c r="C37" s="84" t="s">
        <v>126</v>
      </c>
      <c r="D37" s="95" t="s">
        <v>154</v>
      </c>
      <c r="E37" s="84" t="s">
        <v>155</v>
      </c>
      <c r="F37" s="84" t="s">
        <v>163</v>
      </c>
      <c r="G37" s="84" t="s">
        <v>175</v>
      </c>
      <c r="H37" s="84" t="s">
        <v>177</v>
      </c>
      <c r="I37" s="84" t="s">
        <v>179</v>
      </c>
      <c r="J37" s="84" t="s">
        <v>459</v>
      </c>
      <c r="K37" s="84" t="s">
        <v>183</v>
      </c>
      <c r="L37" s="84" t="s">
        <v>190</v>
      </c>
      <c r="M37" s="84" t="s">
        <v>196</v>
      </c>
      <c r="N37" s="84" t="s">
        <v>197</v>
      </c>
      <c r="O37" s="84" t="s">
        <v>198</v>
      </c>
      <c r="P37" s="84" t="s">
        <v>199</v>
      </c>
      <c r="Q37" s="84" t="s">
        <v>201</v>
      </c>
      <c r="R37" s="84" t="s">
        <v>202</v>
      </c>
      <c r="S37" s="84" t="s">
        <v>203</v>
      </c>
      <c r="T37" s="88" t="s">
        <v>204</v>
      </c>
      <c r="U37" s="88" t="s">
        <v>205</v>
      </c>
      <c r="V37" s="88" t="s">
        <v>211</v>
      </c>
      <c r="W37" s="84" t="s">
        <v>219</v>
      </c>
      <c r="X37" s="84" t="s">
        <v>214</v>
      </c>
      <c r="Y37" s="84" t="s">
        <v>215</v>
      </c>
      <c r="Z37" s="84" t="s">
        <v>221</v>
      </c>
      <c r="AA37" s="84" t="s">
        <v>362</v>
      </c>
      <c r="AB37" s="84" t="s">
        <v>222</v>
      </c>
      <c r="AC37" s="84" t="s">
        <v>225</v>
      </c>
      <c r="AD37" s="84" t="s">
        <v>240</v>
      </c>
      <c r="AE37" s="84" t="s">
        <v>255</v>
      </c>
      <c r="AF37" s="84" t="s">
        <v>256</v>
      </c>
      <c r="AG37" s="84" t="s">
        <v>259</v>
      </c>
      <c r="AH37" s="84" t="s">
        <v>267</v>
      </c>
      <c r="AI37" s="84" t="s">
        <v>355</v>
      </c>
      <c r="AJ37" s="84" t="s">
        <v>356</v>
      </c>
      <c r="AK37" s="84" t="s">
        <v>360</v>
      </c>
      <c r="AL37" s="84" t="s">
        <v>365</v>
      </c>
      <c r="AM37" s="84" t="s">
        <v>370</v>
      </c>
      <c r="AN37" s="84" t="s">
        <v>134</v>
      </c>
      <c r="AO37" s="84" t="s">
        <v>371</v>
      </c>
      <c r="AP37" s="84" t="s">
        <v>372</v>
      </c>
      <c r="AQ37" s="84" t="s">
        <v>227</v>
      </c>
      <c r="AR37" s="84" t="s">
        <v>339</v>
      </c>
      <c r="AS37" s="84" t="s">
        <v>377</v>
      </c>
      <c r="AT37" s="84" t="s">
        <v>494</v>
      </c>
      <c r="AU37" s="84" t="s">
        <v>537</v>
      </c>
      <c r="AV37" s="84" t="s">
        <v>523</v>
      </c>
      <c r="AW37" s="84"/>
      <c r="AX37" s="84"/>
      <c r="AY37" s="84"/>
      <c r="AZ37" s="84"/>
      <c r="BA37" s="84"/>
      <c r="BB37" s="84"/>
      <c r="BC37" s="84"/>
      <c r="BD37" s="84"/>
      <c r="BE37" s="84"/>
      <c r="BF37" s="84"/>
      <c r="BG37" s="84"/>
      <c r="BH37" s="84"/>
      <c r="BI37" s="84"/>
      <c r="BJ37" s="84"/>
    </row>
    <row r="38" spans="1:62" ht="15.5" x14ac:dyDescent="0.25">
      <c r="A38" s="84" t="s">
        <v>48</v>
      </c>
      <c r="B38" s="96" t="s">
        <v>0</v>
      </c>
      <c r="C38" s="84" t="s">
        <v>41</v>
      </c>
      <c r="D38" s="95" t="s">
        <v>156</v>
      </c>
      <c r="E38" s="84" t="s">
        <v>157</v>
      </c>
      <c r="F38" s="84" t="s">
        <v>164</v>
      </c>
      <c r="G38" s="84" t="s">
        <v>176</v>
      </c>
      <c r="H38" s="84" t="s">
        <v>47</v>
      </c>
      <c r="I38" s="84" t="s">
        <v>178</v>
      </c>
      <c r="J38" s="84" t="s">
        <v>459</v>
      </c>
      <c r="K38" s="84" t="s">
        <v>184</v>
      </c>
      <c r="L38" s="84" t="s">
        <v>191</v>
      </c>
      <c r="M38" s="84" t="s">
        <v>192</v>
      </c>
      <c r="N38" s="84" t="s">
        <v>193</v>
      </c>
      <c r="O38" s="84" t="s">
        <v>194</v>
      </c>
      <c r="P38" s="84" t="s">
        <v>195</v>
      </c>
      <c r="Q38" s="84" t="s">
        <v>200</v>
      </c>
      <c r="R38" s="84" t="s">
        <v>206</v>
      </c>
      <c r="S38" s="84" t="s">
        <v>207</v>
      </c>
      <c r="T38" s="84" t="s">
        <v>208</v>
      </c>
      <c r="U38" s="84" t="s">
        <v>209</v>
      </c>
      <c r="V38" s="84" t="s">
        <v>210</v>
      </c>
      <c r="W38" s="84" t="s">
        <v>217</v>
      </c>
      <c r="X38" s="84" t="s">
        <v>218</v>
      </c>
      <c r="Y38" s="84" t="s">
        <v>216</v>
      </c>
      <c r="Z38" s="84" t="s">
        <v>484</v>
      </c>
      <c r="AA38" s="84" t="s">
        <v>363</v>
      </c>
      <c r="AB38" s="84" t="s">
        <v>223</v>
      </c>
      <c r="AC38" s="84" t="s">
        <v>226</v>
      </c>
      <c r="AD38" s="84" t="s">
        <v>241</v>
      </c>
      <c r="AE38" s="84" t="s">
        <v>253</v>
      </c>
      <c r="AF38" s="84" t="s">
        <v>254</v>
      </c>
      <c r="AG38" s="84" t="s">
        <v>260</v>
      </c>
      <c r="AH38" s="84" t="s">
        <v>268</v>
      </c>
      <c r="AI38" s="84" t="s">
        <v>44</v>
      </c>
      <c r="AJ38" s="84" t="s">
        <v>357</v>
      </c>
      <c r="AK38" s="84" t="s">
        <v>361</v>
      </c>
      <c r="AL38" s="84" t="s">
        <v>366</v>
      </c>
      <c r="AM38" s="84" t="s">
        <v>370</v>
      </c>
      <c r="AN38" s="84" t="s">
        <v>123</v>
      </c>
      <c r="AO38" s="84" t="s">
        <v>373</v>
      </c>
      <c r="AP38" s="84" t="s">
        <v>374</v>
      </c>
      <c r="AQ38" s="84" t="s">
        <v>345</v>
      </c>
      <c r="AR38" s="84" t="s">
        <v>340</v>
      </c>
      <c r="AS38" s="84" t="s">
        <v>378</v>
      </c>
      <c r="AT38" s="84" t="s">
        <v>493</v>
      </c>
      <c r="AU38" s="84" t="s">
        <v>536</v>
      </c>
      <c r="AV38" s="84" t="s">
        <v>522</v>
      </c>
      <c r="AW38" s="84"/>
      <c r="AX38" s="84"/>
      <c r="AY38" s="84"/>
      <c r="AZ38" s="84"/>
      <c r="BA38" s="84"/>
      <c r="BB38" s="84"/>
      <c r="BC38" s="84"/>
      <c r="BD38" s="84"/>
      <c r="BE38" s="84"/>
      <c r="BF38" s="84"/>
      <c r="BG38" s="84"/>
      <c r="BH38" s="84"/>
      <c r="BI38" s="84"/>
      <c r="BJ38" s="84"/>
    </row>
    <row r="39" spans="1:62" x14ac:dyDescent="0.25">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row>
    <row r="40" spans="1:62" ht="195" customHeight="1" x14ac:dyDescent="0.25">
      <c r="A40" s="109" t="s">
        <v>81</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row>
    <row r="41" spans="1:62" ht="210" customHeight="1" x14ac:dyDescent="0.25">
      <c r="A41" s="109" t="s">
        <v>82</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row>
    <row r="42" spans="1:62" ht="199.9" customHeight="1" x14ac:dyDescent="0.25">
      <c r="A42" s="109" t="s">
        <v>83</v>
      </c>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row>
    <row r="43" spans="1:62" ht="199.9" customHeight="1" x14ac:dyDescent="0.25">
      <c r="A43" s="109" t="s">
        <v>84</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row>
    <row r="44" spans="1:62" x14ac:dyDescent="0.25">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row>
    <row r="45" spans="1:62" x14ac:dyDescent="0.25">
      <c r="A45" s="109" t="str">
        <f>VLOOKUP('General Informations'!$E$2,lookups!$A$37:$HX$38,3)</f>
        <v>[unit]</v>
      </c>
      <c r="B45" s="84" t="str">
        <f>VLOOKUP('General Informations'!$E$2,lookups!$A$37:$HX$38,3)</f>
        <v>[unit]</v>
      </c>
      <c r="C45" s="84" t="str">
        <f>VLOOKUP('General Informations'!$E$2,lookups!$A$37:$HX$38,4)</f>
        <v>yes</v>
      </c>
      <c r="D45" s="88" t="str">
        <f>VLOOKUP('General Informations'!$E$2,lookups!$A$37:$HX$38,8)</f>
        <v>Not used</v>
      </c>
      <c r="E45" s="84"/>
      <c r="F45" s="84" t="s">
        <v>52</v>
      </c>
      <c r="G45" s="84" t="s">
        <v>52</v>
      </c>
      <c r="H45" s="84" t="s">
        <v>52</v>
      </c>
      <c r="I45" s="84" t="s">
        <v>52</v>
      </c>
      <c r="J45" s="84"/>
      <c r="K45" s="84"/>
      <c r="L45" s="84"/>
      <c r="M45" s="84"/>
      <c r="N45" s="84"/>
      <c r="O45" s="84"/>
      <c r="P45" s="84"/>
      <c r="Q45" s="84"/>
      <c r="R45" s="84"/>
      <c r="S45" s="84"/>
      <c r="T45" s="84"/>
      <c r="U45" s="84"/>
      <c r="V45" s="84"/>
      <c r="W45" s="84"/>
      <c r="X45" s="84"/>
      <c r="Y45" s="84"/>
      <c r="Z45" s="84"/>
      <c r="AA45" s="84"/>
      <c r="AB45" s="84" t="str">
        <f>$D$45</f>
        <v>Not used</v>
      </c>
      <c r="AC45" s="84" t="str">
        <f t="shared" ref="AC45:AD45" si="0">$D$45</f>
        <v>Not used</v>
      </c>
      <c r="AD45" s="84" t="str">
        <f t="shared" si="0"/>
        <v>Not used</v>
      </c>
      <c r="AE45" s="84"/>
      <c r="AF45" s="84"/>
      <c r="AG45" s="84"/>
      <c r="AH45" s="84"/>
      <c r="AI45" s="84"/>
      <c r="AJ45" s="109" t="str">
        <f>VLOOKUP('General Informations'!$E$2,lookups!$A$37:$HX$38,3)</f>
        <v>[unit]</v>
      </c>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row>
    <row r="46" spans="1:62" x14ac:dyDescent="0.25">
      <c r="A46" s="109" t="s">
        <v>151</v>
      </c>
      <c r="B46" s="84" t="str">
        <f>VLOOKUP('General Informations'!$E$2,lookups!$A$37:$HX$38,35)</f>
        <v>mbara</v>
      </c>
      <c r="C46" s="84" t="str">
        <f>VLOOKUP('General Informations'!$E$2,lookups!$A$37:$HX$38,5)</f>
        <v>no</v>
      </c>
      <c r="D46" s="84" t="s">
        <v>228</v>
      </c>
      <c r="E46" s="84" t="str">
        <f>VLOOKUP('General Informations'!$E$2,lookups!$A$37:$HX$38,9)</f>
        <v>No EEx zone</v>
      </c>
      <c r="F46" s="84" t="str">
        <f>VLOOKUP('General Informations'!$E$2,lookups!$A$37:$HX$38,10)</f>
        <v>1.4403/316L</v>
      </c>
      <c r="G46" s="84" t="s">
        <v>185</v>
      </c>
      <c r="H46" s="84" t="s">
        <v>188</v>
      </c>
      <c r="I46" s="84" t="str">
        <f>VLOOKUP('General Informations'!$E$2,lookups!$A$37:$HX$38,5)</f>
        <v>no</v>
      </c>
      <c r="J46" s="84">
        <v>5</v>
      </c>
      <c r="K46" s="84">
        <v>5</v>
      </c>
      <c r="L46" s="88" t="str">
        <f>VLOOKUP('General Informations'!$E$2,lookups!$A$37:$HX$38,18)</f>
        <v>German</v>
      </c>
      <c r="M46" s="88" t="str">
        <f>VLOOKUP('General Informations'!$E$2,lookups!$A$37:$HX$38,23)</f>
        <v>Threshold control</v>
      </c>
      <c r="N46" s="84" t="s">
        <v>228</v>
      </c>
      <c r="O46" s="84" t="s">
        <v>242</v>
      </c>
      <c r="P46" s="84" t="s">
        <v>243</v>
      </c>
      <c r="Q46" s="84" t="s">
        <v>245</v>
      </c>
      <c r="R46" s="84" t="s">
        <v>248</v>
      </c>
      <c r="S46" s="84" t="str">
        <f>VLOOKUP('General Informations'!$E$2,lookups!$A$37:$HX$38,31)</f>
        <v>(if variable)</v>
      </c>
      <c r="T46" s="84" t="str">
        <f>VLOOKUP('General Informations'!$E$2,lookups!$A$37:$HX$38,4)</f>
        <v>yes</v>
      </c>
      <c r="U46" s="84" t="str">
        <f>VLOOKUP('General Informations'!$E$2,lookups!$A$37:$HX$38,9)</f>
        <v>No EEx zone</v>
      </c>
      <c r="V46" s="84" t="s">
        <v>42</v>
      </c>
      <c r="W46" s="84" t="s">
        <v>40</v>
      </c>
      <c r="X46" s="84" t="s">
        <v>524</v>
      </c>
      <c r="Y46" s="84" t="str">
        <f>VLOOKUP('General Informations'!$E$2,lookups!$A$37:$HX$38,5)</f>
        <v>no</v>
      </c>
      <c r="Z46" s="84" t="s">
        <v>220</v>
      </c>
      <c r="AA46" s="84" t="s">
        <v>220</v>
      </c>
      <c r="AB46" s="84" t="str">
        <f>IF(AND(AF46,AG46),$D46, CONCATENATE($D46, " ", VLOOKUP('General Informations'!$E$2,lookups!$A$37:$HX$38,47)))</f>
        <v>O2</v>
      </c>
      <c r="AC46" s="84" t="str">
        <f>IF(AND(AE46,AG46),$D46,CONCATENATE($D46, " ",VLOOKUP('General Informations'!$E$2,lookups!$A$37:$HX$38,47)))</f>
        <v>O2</v>
      </c>
      <c r="AD46" s="84" t="str">
        <f>IF(AND(AE46,AF46),$D46,CONCATENATE($D46, " ",VLOOKUP('General Informations'!$E$2,lookups!$A$37:$HX$38,47)))</f>
        <v>O2</v>
      </c>
      <c r="AE46" s="84" t="b">
        <f>OR(('Questionnaire LDS6'!$E$7=VLOOKUP('General Informations'!$E$2,lookups!$A$37:$HX$38,47)),('Questionnaire LDS6'!$E$7=lookups!$AB$45),('Questionnaire LDS6'!$E$7=lookups!$AB$57),('Questionnaire LDS6'!$E$7=$AB$44),('Questionnaire LDS6'!$E$7=$D46))</f>
        <v>1</v>
      </c>
      <c r="AF46" s="84" t="b">
        <f>OR(('Questionnaire LDS6'!$G$7=VLOOKUP('General Informations'!$E$2,lookups!$A$37:$HX$38,47)),('Questionnaire LDS6'!$G$7=lookups!$AB$45),('Questionnaire LDS6'!$G$7=lookups!$AB$57),('Questionnaire LDS6'!$G$7=$AB$44),('Questionnaire LDS6'!$G$7=$D46))</f>
        <v>1</v>
      </c>
      <c r="AG46" s="84" t="b">
        <f>OR(('Questionnaire LDS6'!$I$7=VLOOKUP('General Informations'!$E$2,lookups!$A$37:$HX$38,47)),('Questionnaire LDS6'!$I$7=lookups!$AB$45),('Questionnaire LDS6'!$I$7=lookups!$AB$57),('Questionnaire LDS6'!$I$7=$AB$44),('Questionnaire LDS6'!$I$7=$D46))</f>
        <v>1</v>
      </c>
      <c r="AH46" s="84" t="str">
        <f>VLOOKUP('General Informations'!$E$2,lookups!$A$37:$HX$38,9)</f>
        <v>No EEx zone</v>
      </c>
      <c r="AI46" s="84" t="str">
        <f>VLOOKUP('General Informations'!$E$2,lookups!$A$185:$HX$189,43)</f>
        <v>Drift verification kits</v>
      </c>
      <c r="AJ46" s="109" t="s">
        <v>151</v>
      </c>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row>
    <row r="47" spans="1:62" ht="14.5" x14ac:dyDescent="0.25">
      <c r="A47" s="109" t="s">
        <v>152</v>
      </c>
      <c r="B47" s="84" t="str">
        <f>VLOOKUP('General Informations'!$E$2,lookups!$A$37:$HX$38,36)</f>
        <v>mbarg</v>
      </c>
      <c r="C47" s="84" t="str">
        <f>VLOOKUP('General Informations'!$E$2,lookups!$A$37:$HX$38,29)</f>
        <v>if necessary</v>
      </c>
      <c r="D47" s="88" t="s">
        <v>165</v>
      </c>
      <c r="E47" s="84" t="s">
        <v>180</v>
      </c>
      <c r="F47" s="84" t="s">
        <v>382</v>
      </c>
      <c r="G47" s="84" t="s">
        <v>186</v>
      </c>
      <c r="H47" s="84" t="s">
        <v>189</v>
      </c>
      <c r="I47" s="84" t="str">
        <f>VLOOKUP('General Informations'!$E$2,lookups!$A$37:$HX$38,13)</f>
        <v>Yes, unheated, wall mount</v>
      </c>
      <c r="J47" s="84">
        <v>10</v>
      </c>
      <c r="K47" s="84">
        <v>10</v>
      </c>
      <c r="L47" s="88" t="str">
        <f>VLOOKUP('General Informations'!$E$2,lookups!$A$37:$HX$38,19)</f>
        <v>English</v>
      </c>
      <c r="M47" s="88" t="str">
        <f>VLOOKUP('General Informations'!$E$2,lookups!$A$37:$HX$38,24)</f>
        <v>Concentration monitoring</v>
      </c>
      <c r="N47" s="88" t="str">
        <f>VLOOKUP('General Informations'!$E$2,lookups!$A$37:$HX$38,30)</f>
        <v>CO - No methan in the process</v>
      </c>
      <c r="O47" s="84" t="str">
        <f>VLOOKUP('General Informations'!$E$2,lookups!$A$37:$HX$38,7)</f>
        <v>Other:</v>
      </c>
      <c r="P47" s="84" t="s">
        <v>244</v>
      </c>
      <c r="Q47" s="84" t="s">
        <v>246</v>
      </c>
      <c r="R47" s="84" t="s">
        <v>249</v>
      </c>
      <c r="S47" s="84" t="str">
        <f>VLOOKUP('General Informations'!$E$2,lookups!$A$37:$HX$38,32)</f>
        <v>(if not variable)</v>
      </c>
      <c r="T47" s="84" t="str">
        <f>VLOOKUP('General Informations'!$E$2,lookups!$A$37:$HX$38,5)</f>
        <v>no</v>
      </c>
      <c r="U47" s="84" t="s">
        <v>181</v>
      </c>
      <c r="V47" s="84" t="s">
        <v>359</v>
      </c>
      <c r="W47" s="84" t="s">
        <v>364</v>
      </c>
      <c r="X47" s="84" t="s">
        <v>544</v>
      </c>
      <c r="Y47" s="84" t="s">
        <v>391</v>
      </c>
      <c r="Z47" s="84" t="str">
        <f>VLOOKUP('General Informations'!$E$2,lookups!$A$37:$HX$38,26)</f>
        <v>Instrument air</v>
      </c>
      <c r="AA47" s="84" t="str">
        <f>VLOOKUP('General Informations'!$E$2,lookups!$A$37:$HX$38,46)</f>
        <v>other:</v>
      </c>
      <c r="AB47" s="84" t="str">
        <f>IF(AND(AF47,AG47),$D47,CONCATENATE($D47, " ", VLOOKUP('General Informations'!$E$2,lookups!$A$37:$HX$38,47)))</f>
        <v>NH3</v>
      </c>
      <c r="AC47" s="84" t="str">
        <f>IF(AND(AE47,AG47),$D47,CONCATENATE($D47, " ",VLOOKUP('General Informations'!$E$2,lookups!$A$37:$HX$38,47)))</f>
        <v>NH3</v>
      </c>
      <c r="AD47" s="84" t="str">
        <f>IF(AND(AE47,AF47),$D47,CONCATENATE($D47, " ",VLOOKUP('General Informations'!$E$2,lookups!$A$37:$HX$38,47)))</f>
        <v>NH3</v>
      </c>
      <c r="AE47" s="84" t="b">
        <f>OR(('Questionnaire LDS6'!$E$7=VLOOKUP('General Informations'!$E$2,lookups!$A$37:$HX$38,47)),('Questionnaire LDS6'!$E$7=lookups!$AB$45),('Questionnaire LDS6'!$E$7=lookups!$AB$57),('Questionnaire LDS6'!$E$7=$AB$44),COUNTIF($D$47:$D$48,'Questionnaire LDS6'!$E$7)+COUNTIF($D$56,'Questionnaire LDS6'!$E$7)&gt;0)</f>
        <v>1</v>
      </c>
      <c r="AF47" s="84" t="b">
        <f>OR(('Questionnaire LDS6'!$G$7=VLOOKUP('General Informations'!$E$2,lookups!$A$37:$HX$38,47)),('Questionnaire LDS6'!$G$7=lookups!$AB$45),('Questionnaire LDS6'!$G$7=lookups!$AB$57),('Questionnaire LDS6'!$G$7=$AB$44),COUNTIF($D$47:$D$48,'Questionnaire LDS6'!$G$7)+COUNTIF($D$56,'Questionnaire LDS6'!$G$7)&gt;0)</f>
        <v>1</v>
      </c>
      <c r="AG47" s="84" t="b">
        <f>OR(('Questionnaire LDS6'!$I$7=VLOOKUP('General Informations'!$E$2,lookups!$A$37:$HX$38,47)),('Questionnaire LDS6'!$I$7=lookups!$AB$45),('Questionnaire LDS6'!$I$7=lookups!$AB$57),('Questionnaire LDS6'!$I$7=$AB$44),COUNTIF($D$47:$D$48,'Questionnaire LDS6'!$I$7)+COUNTIF($D$56,'Questionnaire LDS6'!$I$7)&gt;0)</f>
        <v>1</v>
      </c>
      <c r="AH47" s="84" t="s">
        <v>181</v>
      </c>
      <c r="AI47" s="84" t="str">
        <f>VLOOKUP('General Informations'!$E$2,lookups!$A$185:$HX$189,44)</f>
        <v>Calibration verification kits</v>
      </c>
      <c r="AJ47" s="109" t="s">
        <v>152</v>
      </c>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row>
    <row r="48" spans="1:62" ht="14.5" x14ac:dyDescent="0.25">
      <c r="A48" s="109" t="str">
        <f>VLOOKUP('General Informations'!$E$2,lookups!$A$37:$HX$38,48)</f>
        <v>% meas.</v>
      </c>
      <c r="B48" s="88" t="s">
        <v>158</v>
      </c>
      <c r="D48" s="88" t="s">
        <v>166</v>
      </c>
      <c r="E48" s="84" t="s">
        <v>181</v>
      </c>
      <c r="F48" s="88" t="str">
        <f>VLOOKUP('General Informations'!$E$2,lookups!$A$37:$HX$38,7)</f>
        <v>Other:</v>
      </c>
      <c r="G48" s="84" t="s">
        <v>187</v>
      </c>
      <c r="H48" s="88" t="str">
        <f>VLOOKUP('General Informations'!$E$2,lookups!$A$37:$HX$38,12)</f>
        <v>Engine lab version (DN65/PN6)</v>
      </c>
      <c r="I48" s="88" t="str">
        <f>VLOOKUP('General Informations'!$E$2,lookups!$A$37:$HX$38,14)</f>
        <v>Yes, unheated, wall mount, pump</v>
      </c>
      <c r="J48" s="88">
        <v>25</v>
      </c>
      <c r="K48" s="88">
        <v>25</v>
      </c>
      <c r="L48" s="88" t="str">
        <f>VLOOKUP('General Informations'!$E$2,lookups!$A$37:$HX$38,20)</f>
        <v>French</v>
      </c>
      <c r="M48" s="88" t="str">
        <f>VLOOKUP('General Informations'!$E$2,lookups!$A$37:$HX$38,25)</f>
        <v>both</v>
      </c>
      <c r="P48" s="84" t="s">
        <v>189</v>
      </c>
      <c r="Q48" s="88" t="s">
        <v>247</v>
      </c>
      <c r="R48" s="88" t="s">
        <v>250</v>
      </c>
      <c r="T48" s="88" t="str">
        <f>VLOOKUP('General Informations'!$E$2,lookups!$A$37:$HX$38,33)</f>
        <v xml:space="preserve">Limited: </v>
      </c>
      <c r="U48" s="84" t="s">
        <v>182</v>
      </c>
      <c r="V48" s="84" t="s">
        <v>237</v>
      </c>
      <c r="X48" s="84" t="s">
        <v>545</v>
      </c>
      <c r="Z48" s="88" t="str">
        <f>VLOOKUP('General Informations'!$E$2,lookups!$A$37:$HX$38,27)</f>
        <v>Air blower</v>
      </c>
      <c r="AB48" s="84" t="str">
        <f>IF(AND(AF48,AG48),$D48,CONCATENATE($D48, " ", VLOOKUP('General Informations'!$E$2,lookups!$A$37:$HX$38,47)))</f>
        <v>NH3/H2O</v>
      </c>
      <c r="AC48" s="84" t="str">
        <f>IF(AND(AE48,AG48),$D48,CONCATENATE($D48, " ",VLOOKUP('General Informations'!$E$2,lookups!$A$37:$HX$38,47)))</f>
        <v>NH3/H2O</v>
      </c>
      <c r="AD48" s="84" t="str">
        <f>IF(AND(AE48,AF48),$D48,CONCATENATE($D48, " ",VLOOKUP('General Informations'!$E$2,lookups!$A$37:$HX$38,47)))</f>
        <v>NH3/H2O</v>
      </c>
      <c r="AE48" s="84" t="b">
        <f>OR(('Questionnaire LDS6'!$E$7=VLOOKUP('General Informations'!$E$2,lookups!$A$37:$HX$38,47)),('Questionnaire LDS6'!$E$7=lookups!$AB$45),('Questionnaire LDS6'!$E$7=lookups!$AB$57),('Questionnaire LDS6'!$E$7=$AB$44),COUNTIF($D$47:$D$48,'Questionnaire LDS6'!$E$7)+COUNTIF($D$56,'Questionnaire LDS6'!$E$7)&gt;0)</f>
        <v>1</v>
      </c>
      <c r="AF48" s="84" t="b">
        <f>OR(('Questionnaire LDS6'!$G$7=VLOOKUP('General Informations'!$E$2,lookups!$A$37:$HX$38,47)),('Questionnaire LDS6'!$G$7=lookups!$AB$45),('Questionnaire LDS6'!$G$7=lookups!$AB$57),('Questionnaire LDS6'!$G$7=$AB$44),COUNTIF($D$47:$D$48,'Questionnaire LDS6'!$G$7)+COUNTIF($D$56,'Questionnaire LDS6'!$G$7)&gt;0)</f>
        <v>1</v>
      </c>
      <c r="AG48" s="84" t="b">
        <f>OR(('Questionnaire LDS6'!$I$7=VLOOKUP('General Informations'!$E$2,lookups!$A$37:$HX$38,47)),('Questionnaire LDS6'!$I$7=lookups!$AB$45),('Questionnaire LDS6'!$I$7=lookups!$AB$57),('Questionnaire LDS6'!$I$7=$AB$44),COUNTIF($D$47:$D$48,'Questionnaire LDS6'!$I$7)+COUNTIF($D$56,'Questionnaire LDS6'!$I$7)&gt;0)</f>
        <v>1</v>
      </c>
      <c r="AH48" s="84" t="s">
        <v>182</v>
      </c>
      <c r="AI48" s="84" t="str">
        <f>VLOOKUP('General Informations'!$E$2,lookups!$A$185:$HX$189,45)</f>
        <v>Zero gas test kit</v>
      </c>
      <c r="AJ48" s="84" t="s">
        <v>524</v>
      </c>
    </row>
    <row r="49" spans="1:36" ht="14.5" x14ac:dyDescent="0.25">
      <c r="A49" s="109"/>
      <c r="B49" s="88" t="s">
        <v>358</v>
      </c>
      <c r="D49" s="88" t="s">
        <v>167</v>
      </c>
      <c r="E49" s="84" t="s">
        <v>182</v>
      </c>
      <c r="F49" s="84"/>
      <c r="I49" s="88" t="str">
        <f>VLOOKUP('General Informations'!$E$2,lookups!$A$37:$HX$38,15)</f>
        <v>Yes, heated, wall mount, pump</v>
      </c>
      <c r="J49" s="88">
        <v>40</v>
      </c>
      <c r="K49" s="88" t="str">
        <f>VLOOKUP('General Informations'!$E$2,lookups!$A$37:$HX$38,17)</f>
        <v>Customized length:</v>
      </c>
      <c r="L49" s="88" t="str">
        <f>VLOOKUP('General Informations'!$E$2,lookups!$A$37:$HX$38,21)</f>
        <v>Spanish</v>
      </c>
      <c r="U49" s="88" t="s">
        <v>261</v>
      </c>
      <c r="V49" s="84" t="s">
        <v>52</v>
      </c>
      <c r="X49" s="84" t="s">
        <v>546</v>
      </c>
      <c r="Z49" s="88" t="str">
        <f>VLOOKUP('General Informations'!$E$2,lookups!$A$37:$HX$38,28)</f>
        <v>Steam</v>
      </c>
      <c r="AB49" s="84" t="str">
        <f>IF(AND(AF49,AG49),$D49,CONCATENATE($D49, " ", VLOOKUP('General Informations'!$E$2,lookups!$A$37:$HX$38,47)))</f>
        <v>HCl</v>
      </c>
      <c r="AC49" s="84" t="str">
        <f>IF(AND(AE49,AG49),$D49,CONCATENATE($D49, " ",VLOOKUP('General Informations'!$E$2,lookups!$A$37:$HX$38,47)))</f>
        <v>HCl</v>
      </c>
      <c r="AD49" s="84" t="str">
        <f>IF(AND(AE49,AF49),$D49,CONCATENATE($D49, " ",VLOOKUP('General Informations'!$E$2,lookups!$A$37:$HX$38,47)))</f>
        <v>HCl</v>
      </c>
      <c r="AE49" s="84" t="b">
        <f>OR(('Questionnaire LDS6'!$E$7=VLOOKUP('General Informations'!$E$2,lookups!$A$37:$HX$38,47)),('Questionnaire LDS6'!$E$7=lookups!$AB$45),('Questionnaire LDS6'!$E$7=lookups!$AB$57),('Questionnaire LDS6'!$E$7=$AB$44),COUNTIF($D$49:$D$50,'Questionnaire LDS6'!$E$7)+COUNTIF($D$56,'Questionnaire LDS6'!$E$7)&gt;0)</f>
        <v>1</v>
      </c>
      <c r="AF49" s="84" t="b">
        <f>OR(('Questionnaire LDS6'!$G$7=VLOOKUP('General Informations'!$E$2,lookups!$A$37:$HX$38,47)),('Questionnaire LDS6'!$G$7=lookups!$AB$45),('Questionnaire LDS6'!$G$7=lookups!$AB$57),('Questionnaire LDS6'!$G$7=$AB$44),COUNTIF($D$49:$D$50,'Questionnaire LDS6'!$G$7)+COUNTIF($D$56,'Questionnaire LDS6'!$G$7)&gt;0)</f>
        <v>1</v>
      </c>
      <c r="AG49" s="84" t="b">
        <f>OR(('Questionnaire LDS6'!$I$7=VLOOKUP('General Informations'!$E$2,lookups!$A$37:$HX$38,47)),('Questionnaire LDS6'!$I$7=lookups!$AB$45),('Questionnaire LDS6'!$I$7=lookups!$AB$57),('Questionnaire LDS6'!$I$7=$AB$44),COUNTIF($D$49:$D$50,'Questionnaire LDS6'!$I$7)+COUNTIF($D$56,'Questionnaire LDS6'!$I$7)&gt;0)</f>
        <v>1</v>
      </c>
      <c r="AH49" s="88" t="s">
        <v>261</v>
      </c>
      <c r="AI49" s="84" t="str">
        <f>VLOOKUP('General Informations'!$E$2,lookups!$A$185:$HX$189,46)</f>
        <v>Linearity verification kit</v>
      </c>
      <c r="AJ49" s="84" t="s">
        <v>544</v>
      </c>
    </row>
    <row r="50" spans="1:36" x14ac:dyDescent="0.25">
      <c r="B50" s="88" t="s">
        <v>520</v>
      </c>
      <c r="D50" s="88" t="s">
        <v>168</v>
      </c>
      <c r="E50" s="88" t="s">
        <v>535</v>
      </c>
      <c r="I50" s="88" t="str">
        <f>VLOOKUP('General Informations'!$E$2,lookups!$A$37:$HX$38,16)</f>
        <v>Yes, heated, carrier, wall mount, pump</v>
      </c>
      <c r="J50" s="88">
        <v>50</v>
      </c>
      <c r="L50" s="88" t="str">
        <f>VLOOKUP('General Informations'!$E$2,lookups!$A$37:$HX$38,22)</f>
        <v>Italian</v>
      </c>
      <c r="Z50" s="88" t="str">
        <f>VLOOKUP('General Informations'!$E$2,lookups!$A$37:$HX$38,46)</f>
        <v>other:</v>
      </c>
      <c r="AB50" s="84" t="str">
        <f>IF(AND(AF50,AG50),$D50,CONCATENATE($D50, " ", VLOOKUP('General Informations'!$E$2,lookups!$A$37:$HX$38,47)))</f>
        <v>HCl/H2O</v>
      </c>
      <c r="AC50" s="84" t="str">
        <f>IF(AND(AE50,AG50),$D50,CONCATENATE($D50, " ",VLOOKUP('General Informations'!$E$2,lookups!$A$37:$HX$38,47)))</f>
        <v>HCl/H2O</v>
      </c>
      <c r="AD50" s="84" t="str">
        <f>IF(AND(AE50,AF50),$D50,CONCATENATE($D50, " ",VLOOKUP('General Informations'!$E$2,lookups!$A$37:$HX$38,47)))</f>
        <v>HCl/H2O</v>
      </c>
      <c r="AE50" s="84" t="b">
        <f>OR(('Questionnaire LDS6'!$E$7=VLOOKUP('General Informations'!$E$2,lookups!$A$37:$HX$38,47)),('Questionnaire LDS6'!$E$7=lookups!$AB$45),('Questionnaire LDS6'!$E$7=lookups!$AB$57),('Questionnaire LDS6'!$E$7=$AB$44),COUNTIF($D$49:$D$50,'Questionnaire LDS6'!$E$7)+COUNTIF($D$56,'Questionnaire LDS6'!$E$7)&gt;0)</f>
        <v>1</v>
      </c>
      <c r="AF50" s="84" t="b">
        <f>OR(('Questionnaire LDS6'!$G$7=VLOOKUP('General Informations'!$E$2,lookups!$A$37:$HX$38,47)),('Questionnaire LDS6'!$G$7=lookups!$AB$45),('Questionnaire LDS6'!$G$7=lookups!$AB$57),('Questionnaire LDS6'!$G$7=$AB$44),COUNTIF($D$49:$D$50,'Questionnaire LDS6'!$G$7)+COUNTIF($D$56,'Questionnaire LDS6'!$G$7)&gt;0)</f>
        <v>1</v>
      </c>
      <c r="AG50" s="84" t="b">
        <f>OR(('Questionnaire LDS6'!$I$7=VLOOKUP('General Informations'!$E$2,lookups!$A$37:$HX$38,47)),('Questionnaire LDS6'!$I$7=lookups!$AB$45),('Questionnaire LDS6'!$I$7=lookups!$AB$57),('Questionnaire LDS6'!$I$7=$AB$44),COUNTIF($D$49:$D$50,'Questionnaire LDS6'!$I$7)+COUNTIF($D$56,'Questionnaire LDS6'!$I$7)&gt;0)</f>
        <v>1</v>
      </c>
    </row>
    <row r="51" spans="1:36" x14ac:dyDescent="0.25">
      <c r="B51" s="88" t="s">
        <v>521</v>
      </c>
      <c r="D51" s="88" t="s">
        <v>169</v>
      </c>
      <c r="J51" s="88" t="str">
        <f>VLOOKUP('General Informations'!$E$2,lookups!$A$37:$HX$38,17)</f>
        <v>Customized length:</v>
      </c>
      <c r="AB51" s="84" t="str">
        <f>IF(AND(AF51,AG51),$D51,CONCATENATE($D51, " ", VLOOKUP('General Informations'!$E$2,lookups!$A$37:$HX$38,47)))</f>
        <v>HF</v>
      </c>
      <c r="AC51" s="84" t="str">
        <f>IF(AND(AE51,AG51),$D51,CONCATENATE($D51, " ",VLOOKUP('General Informations'!$E$2,lookups!$A$37:$HX$38,47)))</f>
        <v>HF</v>
      </c>
      <c r="AD51" s="84" t="str">
        <f>IF(AND(AE51,AF51),$D51,CONCATENATE($D51, " ",VLOOKUP('General Informations'!$E$2,lookups!$A$37:$HX$38,47)))</f>
        <v>HF</v>
      </c>
      <c r="AE51" s="84" t="b">
        <f>OR(('Questionnaire LDS6'!$E$7=VLOOKUP('General Informations'!$E$2,lookups!$A$37:$HX$38,47)),('Questionnaire LDS6'!$E$7=lookups!$AB$45),('Questionnaire LDS6'!$E$7=lookups!$AB$57),('Questionnaire LDS6'!$E$7=$AB$44),COUNTIF($D$51:$D$52,'Questionnaire LDS6'!$E$7)+COUNTIF($D$56,'Questionnaire LDS6'!$E$7)&gt;0)</f>
        <v>1</v>
      </c>
      <c r="AF51" s="84" t="b">
        <f>OR(('Questionnaire LDS6'!$G$7=VLOOKUP('General Informations'!$E$2,lookups!$A$37:$HX$38,47)),('Questionnaire LDS6'!$G$7=lookups!$AB$45),('Questionnaire LDS6'!$G$7=lookups!$AB$57),('Questionnaire LDS6'!$G$7=$AB$44),COUNTIF($D$51:$D$52,'Questionnaire LDS6'!$G$7)+COUNTIF($D$56,'Questionnaire LDS6'!$G$7)&gt;0)</f>
        <v>1</v>
      </c>
      <c r="AG51" s="84" t="b">
        <f>OR(('Questionnaire LDS6'!$I$7=VLOOKUP('General Informations'!$E$2,lookups!$A$37:$HX$38,47)),('Questionnaire LDS6'!$I$7=lookups!$AB$45),('Questionnaire LDS6'!$I$7=lookups!$AB$57),('Questionnaire LDS6'!$I$7=$AB$44),COUNTIF($D$51:$D$52,'Questionnaire LDS6'!$I$7)+COUNTIF($D$56,'Questionnaire LDS6'!$I$7)&gt;0)</f>
        <v>1</v>
      </c>
    </row>
    <row r="52" spans="1:36" x14ac:dyDescent="0.25">
      <c r="D52" s="88" t="s">
        <v>170</v>
      </c>
      <c r="AB52" s="84" t="str">
        <f>IF(AND(AF52,AG52),$D52,CONCATENATE($D52, " ", VLOOKUP('General Informations'!$E$2,lookups!$A$37:$HX$38,47)))</f>
        <v>HF/H2O</v>
      </c>
      <c r="AC52" s="84" t="str">
        <f>IF(AND(AE52,AG52),$D52,CONCATENATE($D52, " ",VLOOKUP('General Informations'!$E$2,lookups!$A$37:$HX$38,47)))</f>
        <v>HF/H2O</v>
      </c>
      <c r="AD52" s="84" t="str">
        <f>IF(AND(AE52,AF52),$D52,CONCATENATE($D52, " ",VLOOKUP('General Informations'!$E$2,lookups!$A$37:$HX$38,47)))</f>
        <v>HF/H2O</v>
      </c>
      <c r="AE52" s="84" t="b">
        <f>OR(('Questionnaire LDS6'!$E$7=VLOOKUP('General Informations'!$E$2,lookups!$A$37:$HX$38,47)),('Questionnaire LDS6'!$E$7=lookups!$AB$45),('Questionnaire LDS6'!$E$7=lookups!$AB$57),('Questionnaire LDS6'!$E$7=$AB$44),COUNTIF($D$51:$D$52,'Questionnaire LDS6'!$E$7)+COUNTIF($D$56,'Questionnaire LDS6'!$E$7)&gt;0)</f>
        <v>1</v>
      </c>
      <c r="AF52" s="84" t="b">
        <f>OR(('Questionnaire LDS6'!$G$7=VLOOKUP('General Informations'!$E$2,lookups!$A$37:$HX$38,47)),('Questionnaire LDS6'!$G$7=lookups!$AB$45),('Questionnaire LDS6'!$G$7=lookups!$AB$57),('Questionnaire LDS6'!$G$7=$AB$44),COUNTIF($D$51:$D$52,'Questionnaire LDS6'!$G$7)+COUNTIF($D$56,'Questionnaire LDS6'!$G$7)&gt;0)</f>
        <v>1</v>
      </c>
      <c r="AG52" s="84" t="b">
        <f>OR(('Questionnaire LDS6'!$I$7=VLOOKUP('General Informations'!$E$2,lookups!$A$37:$HX$38,47)),('Questionnaire LDS6'!$I$7=lookups!$AB$45),('Questionnaire LDS6'!$I$7=lookups!$AB$57),('Questionnaire LDS6'!$I$7=$AB$44),COUNTIF($D$51:$D$52,'Questionnaire LDS6'!$I$7)+COUNTIF($D$56,'Questionnaire LDS6'!$I$7)&gt;0)</f>
        <v>1</v>
      </c>
    </row>
    <row r="53" spans="1:36" x14ac:dyDescent="0.25">
      <c r="D53" s="88" t="s">
        <v>171</v>
      </c>
      <c r="AB53" s="84" t="str">
        <f>IF(AND(AF53,AG53),$D53,CONCATENATE($D53, " ", VLOOKUP('General Informations'!$E$2,lookups!$A$37:$HX$38,47)))</f>
        <v>CO</v>
      </c>
      <c r="AC53" s="84" t="str">
        <f>IF(AND(AE53,AG53),$D53,CONCATENATE($D53, " ",VLOOKUP('General Informations'!$E$2,lookups!$A$37:$HX$38,47)))</f>
        <v>CO</v>
      </c>
      <c r="AD53" s="84" t="str">
        <f>IF(AND(AE53,AF53),$D53,CONCATENATE($D53, " ",VLOOKUP('General Informations'!$E$2,lookups!$A$37:$HX$38,47)))</f>
        <v>CO</v>
      </c>
      <c r="AE53" s="84" t="b">
        <f>OR(('Questionnaire LDS6'!$E$7=VLOOKUP('General Informations'!$E$2,lookups!$A$37:$HX$38,47)),('Questionnaire LDS6'!$E$7=lookups!$AB$45),('Questionnaire LDS6'!$E$7=lookups!$AB$57),('Questionnaire LDS6'!$E$7=$AB$44),COUNTIF($D$53:$D$54,'Questionnaire LDS6'!$E$7)&gt;0)</f>
        <v>1</v>
      </c>
      <c r="AF53" s="84" t="b">
        <f>OR(('Questionnaire LDS6'!$G$7=VLOOKUP('General Informations'!$E$2,lookups!$A$37:$HX$38,47)),('Questionnaire LDS6'!$G$7=lookups!$AB$45),('Questionnaire LDS6'!$G$7=lookups!$AB$57),('Questionnaire LDS6'!$G$7=$AB$44),COUNTIF($D$53:$D$54,'Questionnaire LDS6'!$G$7)&gt;0)</f>
        <v>1</v>
      </c>
      <c r="AG53" s="84" t="b">
        <f>OR(('Questionnaire LDS6'!$I$7=VLOOKUP('General Informations'!$E$2,lookups!$A$37:$HX$38,47)),('Questionnaire LDS6'!$I$7=lookups!$AB$45),('Questionnaire LDS6'!$I$7=lookups!$AB$57),('Questionnaire LDS6'!$I$7=$AB$44),COUNTIF($D$53:$D$54,'Questionnaire LDS6'!$I$7)&gt;0)</f>
        <v>1</v>
      </c>
    </row>
    <row r="54" spans="1:36" x14ac:dyDescent="0.25">
      <c r="D54" s="88" t="s">
        <v>172</v>
      </c>
      <c r="AB54" s="84" t="str">
        <f>IF(AND(AF54,AG54),$D54,CONCATENATE($D54, " ", VLOOKUP('General Informations'!$E$2,lookups!$A$37:$HX$38,47)))</f>
        <v>CO/CO2</v>
      </c>
      <c r="AC54" s="84" t="str">
        <f>IF(AND(AE54,AG54),$D54,CONCATENATE($D54, " ",VLOOKUP('General Informations'!$E$2,lookups!$A$37:$HX$38,47)))</f>
        <v>CO/CO2</v>
      </c>
      <c r="AD54" s="84" t="str">
        <f>IF(AND(AE54,AF54),$D54,CONCATENATE($D54, " ",VLOOKUP('General Informations'!$E$2,lookups!$A$37:$HX$38,47)))</f>
        <v>CO/CO2</v>
      </c>
      <c r="AE54" s="84" t="b">
        <f>OR(('Questionnaire LDS6'!$E$7=VLOOKUP('General Informations'!$E$2,lookups!$A$37:$HX$38,47)),('Questionnaire LDS6'!$E$7=lookups!$AB$45),('Questionnaire LDS6'!$E$7=lookups!$AB$57),('Questionnaire LDS6'!$E$7=$AB$44),COUNTIF($D$53:$D$55,'Questionnaire LDS6'!$E$7)&gt;0)</f>
        <v>1</v>
      </c>
      <c r="AF54" s="84" t="b">
        <f>OR(('Questionnaire LDS6'!$G$7=VLOOKUP('General Informations'!$E$2,lookups!$A$37:$HX$38,47)),('Questionnaire LDS6'!$G$7=lookups!$AB$45),('Questionnaire LDS6'!$G$7=lookups!$AB$57),('Questionnaire LDS6'!$G$7=$AB$44),COUNTIF($D$53:$D$55,'Questionnaire LDS6'!$G$7)&gt;0)</f>
        <v>1</v>
      </c>
      <c r="AG54" s="84" t="b">
        <f>OR(('Questionnaire LDS6'!$I$7=VLOOKUP('General Informations'!$E$2,lookups!$A$37:$HX$38,47)),('Questionnaire LDS6'!$I$7=lookups!$AB$45),('Questionnaire LDS6'!$I$7=lookups!$AB$57),('Questionnaire LDS6'!$I$7=$AB$44),COUNTIF($D$53:$D$55,'Questionnaire LDS6'!$I$7)&gt;0)</f>
        <v>1</v>
      </c>
    </row>
    <row r="55" spans="1:36" x14ac:dyDescent="0.25">
      <c r="D55" s="88" t="s">
        <v>173</v>
      </c>
      <c r="AB55" s="84" t="str">
        <f>IF(AND(AF55,AG55),$D55,CONCATENATE($D55, " ", VLOOKUP('General Informations'!$E$2,lookups!$A$37:$HX$38,47)))</f>
        <v>CO2</v>
      </c>
      <c r="AC55" s="84" t="str">
        <f>IF(AND(AE55,AG55),$D55,CONCATENATE($D55, " ",VLOOKUP('General Informations'!$E$2,lookups!$A$37:$HX$38,47)))</f>
        <v>CO2</v>
      </c>
      <c r="AD55" s="84" t="str">
        <f>IF(AND(AE55,AF55),$D55,CONCATENATE($D55, " ",VLOOKUP('General Informations'!$E$2,lookups!$A$37:$HX$38,47)))</f>
        <v>CO2</v>
      </c>
      <c r="AE55" s="84" t="b">
        <f>OR(('Questionnaire LDS6'!$E$7=VLOOKUP('General Informations'!$E$2,lookups!$A$37:$HX$38,47)),('Questionnaire LDS6'!$E$7=lookups!$AB$45),('Questionnaire LDS6'!$E$7=lookups!$AB$57),('Questionnaire LDS6'!$E$7=$AB$44),COUNTIF($D$54:$D$55,'Questionnaire LDS6'!$E$7)&gt;0)</f>
        <v>1</v>
      </c>
      <c r="AF55" s="84" t="b">
        <f>OR(('Questionnaire LDS6'!$G$7=VLOOKUP('General Informations'!$E$2,lookups!$A$37:$HX$38,47)),('Questionnaire LDS6'!$G$7=lookups!$AB$45),('Questionnaire LDS6'!$G$7=lookups!$AB$57),('Questionnaire LDS6'!$G$7=$AB$44),COUNTIF($D$54:$D$55,'Questionnaire LDS6'!$G$7)&gt;0)</f>
        <v>1</v>
      </c>
      <c r="AG55" s="84" t="b">
        <f>OR(('Questionnaire LDS6'!$I$7=VLOOKUP('General Informations'!$E$2,lookups!$A$37:$HX$38,47)),('Questionnaire LDS6'!$I$7=lookups!$AB$45),('Questionnaire LDS6'!$I$7=lookups!$AB$57),('Questionnaire LDS6'!$I$7=$AB$44),COUNTIF($D$54:$D$55,'Questionnaire LDS6'!$I$7)&gt;0)</f>
        <v>1</v>
      </c>
    </row>
    <row r="56" spans="1:36" x14ac:dyDescent="0.25">
      <c r="D56" s="88" t="s">
        <v>174</v>
      </c>
      <c r="AB56" s="84" t="str">
        <f>IF(AND(AF56,AG56),$D56,CONCATENATE($D56, " ", VLOOKUP('General Informations'!$E$2,lookups!$A$37:$HX$38,47)))</f>
        <v>H2O</v>
      </c>
      <c r="AC56" s="84" t="str">
        <f>IF(AND(AE56,AG56),$D56,CONCATENATE($D56, " ",VLOOKUP('General Informations'!$E$2,lookups!$A$37:$HX$38,47)))</f>
        <v>H2O</v>
      </c>
      <c r="AD56" s="84" t="str">
        <f>IF(AND(AE56,AF56),$D56,CONCATENATE($D56, " ",VLOOKUP('General Informations'!$E$2,lookups!$A$37:$HX$38,47)))</f>
        <v>H2O</v>
      </c>
      <c r="AE56" s="84" t="b">
        <f>OR(('Questionnaire LDS6'!$E$7=VLOOKUP('General Informations'!$E$2,lookups!$A$37:$HX$38,47)),('Questionnaire LDS6'!$E$7=lookups!$AB$45),('Questionnaire LDS6'!$E$7=lookups!$AB$57),('Questionnaire LDS6'!$E$7=$AB$44),COUNTIF($D$47:$D$52,'Questionnaire LDS6'!$E$7)+COUNTIF($D$56,'Questionnaire LDS6'!$E$7)&gt;0)</f>
        <v>1</v>
      </c>
      <c r="AF56" s="84" t="b">
        <f>OR(('Questionnaire LDS6'!$G$7=VLOOKUP('General Informations'!$E$2,lookups!$A$37:$HX$38,47)),('Questionnaire LDS6'!$G$7=lookups!$AB$45),('Questionnaire LDS6'!$G$7=lookups!$AB$57),('Questionnaire LDS6'!$G$7=$AB$44),COUNTIF($D$47:$D$52,'Questionnaire LDS6'!$G$7)+COUNTIF($D$56,'Questionnaire LDS6'!$G$7)&gt;0)</f>
        <v>1</v>
      </c>
      <c r="AG56" s="84" t="b">
        <f>OR(('Questionnaire LDS6'!$I$7=VLOOKUP('General Informations'!$E$2,lookups!$A$37:$HX$38,47)),('Questionnaire LDS6'!$I$7=lookups!$AB$45),('Questionnaire LDS6'!$I$7=lookups!$AB$57),('Questionnaire LDS6'!$I$7=$AB$44),COUNTIF($D$47:$D$52,'Questionnaire LDS6'!$I$7)+COUNTIF($D$56,'Questionnaire LDS6'!$I$7)&gt;0)</f>
        <v>1</v>
      </c>
    </row>
    <row r="57" spans="1:36" x14ac:dyDescent="0.25">
      <c r="D57" s="88" t="str">
        <f>VLOOKUP('General Informations'!$E$2,lookups!$A$37:$HX$38,7)</f>
        <v>Other:</v>
      </c>
      <c r="AB57" s="84" t="str">
        <f>IF(AND(AF57,AG57),$D57,CONCATENATE($D57, " ", VLOOKUP('General Informations'!$E$2,lookups!$A$37:$HX$38,47)))</f>
        <v>Other:</v>
      </c>
      <c r="AC57" s="84" t="str">
        <f>IF(AND(AE57,AG57),$D57,CONCATENATE($D57, " ",VLOOKUP('General Informations'!$E$2,lookups!$A$37:$HX$38,47)))</f>
        <v>Other:</v>
      </c>
      <c r="AD57" s="84" t="str">
        <f>IF(AND(AE57,AF57),$D57,CONCATENATE($D57, " ",VLOOKUP('General Informations'!$E$2,lookups!$A$37:$HX$38,47)))</f>
        <v>Other:</v>
      </c>
      <c r="AE57" s="84" t="b">
        <v>1</v>
      </c>
      <c r="AF57" s="84" t="b">
        <v>1</v>
      </c>
      <c r="AG57" s="84" t="b">
        <v>1</v>
      </c>
    </row>
    <row r="58" spans="1:36" x14ac:dyDescent="0.25">
      <c r="AB58" s="84"/>
      <c r="AC58" s="84"/>
      <c r="AD58" s="84"/>
    </row>
    <row r="59" spans="1:36" x14ac:dyDescent="0.25">
      <c r="D59" s="84"/>
      <c r="AB59" s="84"/>
      <c r="AC59" s="84"/>
      <c r="AD59" s="84"/>
    </row>
    <row r="62" spans="1:36" ht="13" x14ac:dyDescent="0.3">
      <c r="A62" s="87" t="s">
        <v>38</v>
      </c>
      <c r="B62" s="88" t="s">
        <v>220</v>
      </c>
      <c r="C62" s="84" t="s">
        <v>224</v>
      </c>
      <c r="D62" s="84" t="s">
        <v>221</v>
      </c>
      <c r="E62" s="84" t="s">
        <v>222</v>
      </c>
      <c r="G62" s="88" t="s">
        <v>271</v>
      </c>
    </row>
    <row r="63" spans="1:36" x14ac:dyDescent="0.25">
      <c r="A63" s="88" t="s">
        <v>229</v>
      </c>
      <c r="B63" s="88" t="str">
        <f t="shared" ref="B63:B73" si="1">$C$45</f>
        <v>yes</v>
      </c>
      <c r="C63" s="88" t="str">
        <f>$C$46</f>
        <v>no</v>
      </c>
      <c r="D63" s="88" t="str">
        <f>$C$46</f>
        <v>no</v>
      </c>
      <c r="E63" s="88" t="str">
        <f>$C$46</f>
        <v>no</v>
      </c>
      <c r="F63" s="88" t="s">
        <v>228</v>
      </c>
      <c r="G63" s="88" t="str">
        <f>$C$45</f>
        <v>yes</v>
      </c>
      <c r="H63" s="88" t="s">
        <v>228</v>
      </c>
      <c r="I63" s="88" t="str">
        <f>VLOOKUP('General Informations'!$E$2,lookups!$A$37:$HX$38,38)</f>
        <v>None</v>
      </c>
    </row>
    <row r="64" spans="1:36" x14ac:dyDescent="0.25">
      <c r="A64" s="88" t="s">
        <v>230</v>
      </c>
      <c r="B64" s="88" t="str">
        <f t="shared" si="1"/>
        <v>yes</v>
      </c>
      <c r="C64" s="88" t="str">
        <f>$C$45</f>
        <v>yes</v>
      </c>
      <c r="D64" s="88" t="str">
        <f>$C$45</f>
        <v>yes</v>
      </c>
      <c r="E64" s="88" t="str">
        <f>VLOOKUP('General Informations'!$E$2,lookups!$A$37:$HX$38,37)</f>
        <v>disadvised</v>
      </c>
      <c r="F64" s="88" t="s">
        <v>165</v>
      </c>
      <c r="G64" s="88" t="str">
        <f>VLOOKUP('General Informations'!$E$2,lookups!$A$37:$HX$38,34)</f>
        <v>only if air is corrosive</v>
      </c>
      <c r="H64" s="88" t="s">
        <v>165</v>
      </c>
      <c r="I64" s="88" t="str">
        <f>VLOOKUP('General Informations'!$E$2,lookups!$A$37:$HX$38,38)</f>
        <v>None</v>
      </c>
    </row>
    <row r="65" spans="1:9" x14ac:dyDescent="0.25">
      <c r="A65" s="88" t="s">
        <v>231</v>
      </c>
      <c r="B65" s="88" t="str">
        <f t="shared" si="1"/>
        <v>yes</v>
      </c>
      <c r="C65" s="88" t="str">
        <f t="shared" ref="C65:C73" si="2">$C$45</f>
        <v>yes</v>
      </c>
      <c r="D65" s="88" t="str">
        <f>$C$46</f>
        <v>no</v>
      </c>
      <c r="E65" s="88" t="str">
        <f>$C$46</f>
        <v>no</v>
      </c>
      <c r="F65" s="88" t="s">
        <v>166</v>
      </c>
      <c r="G65" s="88" t="str">
        <f>$C$45</f>
        <v>yes</v>
      </c>
      <c r="H65" s="88" t="s">
        <v>165</v>
      </c>
      <c r="I65" s="88" t="s">
        <v>174</v>
      </c>
    </row>
    <row r="66" spans="1:9" x14ac:dyDescent="0.25">
      <c r="A66" s="88" t="s">
        <v>232</v>
      </c>
      <c r="B66" s="88" t="str">
        <f t="shared" si="1"/>
        <v>yes</v>
      </c>
      <c r="C66" s="88" t="str">
        <f t="shared" si="2"/>
        <v>yes</v>
      </c>
      <c r="D66" s="88" t="str">
        <f>$C$45</f>
        <v>yes</v>
      </c>
      <c r="E66" s="88" t="str">
        <f>VLOOKUP('General Informations'!$E$2,lookups!$A$37:$HX$38,37)</f>
        <v>disadvised</v>
      </c>
      <c r="F66" s="88" t="s">
        <v>167</v>
      </c>
      <c r="G66" s="88" t="str">
        <f>VLOOKUP('General Informations'!$E$2,lookups!$A$37:$HX$38,34)</f>
        <v>only if air is corrosive</v>
      </c>
      <c r="H66" s="88" t="s">
        <v>167</v>
      </c>
      <c r="I66" s="88" t="str">
        <f>VLOOKUP('General Informations'!$E$2,lookups!$A$37:$HX$38,38)</f>
        <v>None</v>
      </c>
    </row>
    <row r="67" spans="1:9" x14ac:dyDescent="0.25">
      <c r="A67" s="88" t="s">
        <v>233</v>
      </c>
      <c r="B67" s="88" t="str">
        <f t="shared" si="1"/>
        <v>yes</v>
      </c>
      <c r="C67" s="88" t="str">
        <f t="shared" si="2"/>
        <v>yes</v>
      </c>
      <c r="D67" s="88" t="str">
        <f>$C$46</f>
        <v>no</v>
      </c>
      <c r="E67" s="88" t="str">
        <f>$C$46</f>
        <v>no</v>
      </c>
      <c r="F67" s="88" t="s">
        <v>168</v>
      </c>
      <c r="G67" s="88" t="str">
        <f>$C$45</f>
        <v>yes</v>
      </c>
      <c r="H67" s="88" t="s">
        <v>167</v>
      </c>
      <c r="I67" s="88" t="s">
        <v>174</v>
      </c>
    </row>
    <row r="68" spans="1:9" x14ac:dyDescent="0.25">
      <c r="A68" s="88" t="s">
        <v>234</v>
      </c>
      <c r="B68" s="88" t="str">
        <f t="shared" si="1"/>
        <v>yes</v>
      </c>
      <c r="C68" s="88" t="str">
        <f t="shared" si="2"/>
        <v>yes</v>
      </c>
      <c r="D68" s="88" t="str">
        <f>$C$45</f>
        <v>yes</v>
      </c>
      <c r="E68" s="88" t="str">
        <f>VLOOKUP('General Informations'!$E$2,lookups!$A$37:$HX$38,37)</f>
        <v>disadvised</v>
      </c>
      <c r="F68" s="88" t="s">
        <v>169</v>
      </c>
      <c r="G68" s="88" t="str">
        <f>VLOOKUP('General Informations'!$E$2,lookups!$A$37:$HX$38,34)</f>
        <v>only if air is corrosive</v>
      </c>
      <c r="H68" s="88" t="s">
        <v>169</v>
      </c>
      <c r="I68" s="88" t="str">
        <f>VLOOKUP('General Informations'!$E$2,lookups!$A$37:$HX$38,38)</f>
        <v>None</v>
      </c>
    </row>
    <row r="69" spans="1:9" x14ac:dyDescent="0.25">
      <c r="A69" s="88" t="s">
        <v>235</v>
      </c>
      <c r="B69" s="88" t="str">
        <f t="shared" si="1"/>
        <v>yes</v>
      </c>
      <c r="C69" s="88" t="str">
        <f t="shared" si="2"/>
        <v>yes</v>
      </c>
      <c r="D69" s="88" t="str">
        <f>$C$46</f>
        <v>no</v>
      </c>
      <c r="E69" s="88" t="str">
        <f>$C$46</f>
        <v>no</v>
      </c>
      <c r="F69" s="88" t="s">
        <v>170</v>
      </c>
      <c r="G69" s="88" t="str">
        <f>$C$45</f>
        <v>yes</v>
      </c>
      <c r="H69" s="88" t="s">
        <v>169</v>
      </c>
      <c r="I69" s="88" t="s">
        <v>174</v>
      </c>
    </row>
    <row r="70" spans="1:9" x14ac:dyDescent="0.25">
      <c r="A70" s="88" t="s">
        <v>236</v>
      </c>
      <c r="B70" s="88" t="str">
        <f t="shared" si="1"/>
        <v>yes</v>
      </c>
      <c r="C70" s="88" t="str">
        <f t="shared" si="2"/>
        <v>yes</v>
      </c>
      <c r="D70" s="88" t="str">
        <f>$C$45</f>
        <v>yes</v>
      </c>
      <c r="E70" s="88" t="str">
        <f>VLOOKUP('General Informations'!$E$2,lookups!$A$37:$HX$38,37)</f>
        <v>disadvised</v>
      </c>
      <c r="F70" s="88" t="s">
        <v>171</v>
      </c>
      <c r="G70" s="88" t="str">
        <f>VLOOKUP('General Informations'!$E$2,lookups!$A$37:$HX$38,34)</f>
        <v>only if air is corrosive</v>
      </c>
      <c r="H70" s="88" t="s">
        <v>171</v>
      </c>
      <c r="I70" s="88" t="str">
        <f>VLOOKUP('General Informations'!$E$2,lookups!$A$37:$HX$38,38)</f>
        <v>None</v>
      </c>
    </row>
    <row r="71" spans="1:9" x14ac:dyDescent="0.25">
      <c r="A71" s="88" t="s">
        <v>237</v>
      </c>
      <c r="B71" s="88" t="str">
        <f t="shared" si="1"/>
        <v>yes</v>
      </c>
      <c r="C71" s="88" t="str">
        <f t="shared" si="2"/>
        <v>yes</v>
      </c>
      <c r="D71" s="88" t="str">
        <f>$C$45</f>
        <v>yes</v>
      </c>
      <c r="E71" s="88" t="str">
        <f>VLOOKUP('General Informations'!$E$2,lookups!$A$37:$HX$38,37)</f>
        <v>disadvised</v>
      </c>
      <c r="F71" s="88" t="s">
        <v>172</v>
      </c>
      <c r="G71" s="88" t="str">
        <f>VLOOKUP('General Informations'!$E$2,lookups!$A$37:$HX$38,34)</f>
        <v>only if air is corrosive</v>
      </c>
      <c r="H71" s="88" t="s">
        <v>171</v>
      </c>
      <c r="I71" s="88" t="s">
        <v>173</v>
      </c>
    </row>
    <row r="72" spans="1:9" x14ac:dyDescent="0.25">
      <c r="A72" s="88" t="s">
        <v>238</v>
      </c>
      <c r="B72" s="88" t="str">
        <f t="shared" si="1"/>
        <v>yes</v>
      </c>
      <c r="C72" s="88" t="str">
        <f t="shared" si="2"/>
        <v>yes</v>
      </c>
      <c r="D72" s="88" t="str">
        <f>$C$45</f>
        <v>yes</v>
      </c>
      <c r="E72" s="88" t="str">
        <f>VLOOKUP('General Informations'!$E$2,lookups!$A$37:$HX$38,37)</f>
        <v>disadvised</v>
      </c>
      <c r="F72" s="88" t="s">
        <v>173</v>
      </c>
      <c r="G72" s="88" t="str">
        <f>VLOOKUP('General Informations'!$E$2,lookups!$A$37:$HX$38,34)</f>
        <v>only if air is corrosive</v>
      </c>
      <c r="H72" s="88" t="s">
        <v>173</v>
      </c>
      <c r="I72" s="88" t="str">
        <f>VLOOKUP('General Informations'!$E$2,lookups!$A$37:$HX$38,38)</f>
        <v>None</v>
      </c>
    </row>
    <row r="73" spans="1:9" x14ac:dyDescent="0.25">
      <c r="A73" s="88" t="s">
        <v>239</v>
      </c>
      <c r="B73" s="88" t="str">
        <f t="shared" si="1"/>
        <v>yes</v>
      </c>
      <c r="C73" s="88" t="str">
        <f t="shared" si="2"/>
        <v>yes</v>
      </c>
      <c r="D73" s="88" t="str">
        <f>$C$46</f>
        <v>no</v>
      </c>
      <c r="E73" s="88" t="str">
        <f>$C$46</f>
        <v>no</v>
      </c>
      <c r="F73" s="88" t="s">
        <v>174</v>
      </c>
      <c r="G73" s="88" t="str">
        <f>$C$45</f>
        <v>yes</v>
      </c>
      <c r="H73" s="88" t="s">
        <v>174</v>
      </c>
      <c r="I73" s="88" t="str">
        <f>VLOOKUP('General Informations'!$E$2,lookups!$A$37:$HX$38,38)</f>
        <v>None</v>
      </c>
    </row>
    <row r="76" spans="1:9" x14ac:dyDescent="0.25">
      <c r="D76" s="88" t="s">
        <v>311</v>
      </c>
      <c r="E76" s="88" t="s">
        <v>312</v>
      </c>
      <c r="F76" s="88" t="s">
        <v>313</v>
      </c>
      <c r="G76" s="88" t="s">
        <v>314</v>
      </c>
      <c r="H76" s="88" t="s">
        <v>34</v>
      </c>
    </row>
    <row r="77" spans="1:9" x14ac:dyDescent="0.25">
      <c r="A77" s="89" t="s">
        <v>273</v>
      </c>
      <c r="B77" s="88" t="s">
        <v>275</v>
      </c>
      <c r="C77" s="88" t="s">
        <v>297</v>
      </c>
      <c r="D77" s="110">
        <v>1</v>
      </c>
      <c r="E77" s="88" t="s">
        <v>306</v>
      </c>
      <c r="H77" s="88">
        <v>5</v>
      </c>
    </row>
    <row r="78" spans="1:9" x14ac:dyDescent="0.25">
      <c r="A78" s="88" t="s">
        <v>272</v>
      </c>
      <c r="B78" s="88" t="s">
        <v>276</v>
      </c>
      <c r="C78" s="88" t="s">
        <v>297</v>
      </c>
      <c r="D78" s="110">
        <v>1</v>
      </c>
      <c r="E78" s="88" t="s">
        <v>307</v>
      </c>
      <c r="H78" s="88" t="s">
        <v>333</v>
      </c>
    </row>
    <row r="79" spans="1:9" x14ac:dyDescent="0.25">
      <c r="A79" s="88" t="s">
        <v>274</v>
      </c>
      <c r="B79" s="88" t="s">
        <v>277</v>
      </c>
      <c r="C79" s="88" t="s">
        <v>298</v>
      </c>
      <c r="D79" s="110">
        <v>1</v>
      </c>
      <c r="E79" s="88" t="s">
        <v>307</v>
      </c>
      <c r="H79" s="88">
        <v>2</v>
      </c>
    </row>
    <row r="80" spans="1:9" x14ac:dyDescent="0.25">
      <c r="A80" s="88" t="s">
        <v>264</v>
      </c>
      <c r="B80" s="88" t="s">
        <v>278</v>
      </c>
      <c r="C80" s="88" t="s">
        <v>297</v>
      </c>
      <c r="D80" s="88" t="s">
        <v>300</v>
      </c>
      <c r="E80" s="88" t="s">
        <v>308</v>
      </c>
      <c r="H80" s="88">
        <v>2</v>
      </c>
    </row>
    <row r="81" spans="1:8" x14ac:dyDescent="0.25">
      <c r="A81" s="88" t="s">
        <v>285</v>
      </c>
      <c r="B81" s="88" t="s">
        <v>279</v>
      </c>
      <c r="C81" s="88" t="s">
        <v>297</v>
      </c>
      <c r="D81" s="88" t="s">
        <v>300</v>
      </c>
      <c r="E81" s="88" t="s">
        <v>308</v>
      </c>
      <c r="H81" s="88">
        <v>2</v>
      </c>
    </row>
    <row r="82" spans="1:8" x14ac:dyDescent="0.25">
      <c r="A82" s="88" t="s">
        <v>286</v>
      </c>
      <c r="B82" s="88" t="s">
        <v>280</v>
      </c>
      <c r="C82" s="88" t="s">
        <v>297</v>
      </c>
      <c r="D82" s="88" t="s">
        <v>300</v>
      </c>
      <c r="E82" s="88" t="s">
        <v>308</v>
      </c>
      <c r="H82" s="88">
        <v>2</v>
      </c>
    </row>
    <row r="83" spans="1:8" x14ac:dyDescent="0.25">
      <c r="A83" s="88" t="s">
        <v>287</v>
      </c>
      <c r="B83" s="88" t="s">
        <v>281</v>
      </c>
      <c r="C83" s="88" t="s">
        <v>299</v>
      </c>
      <c r="D83" s="88" t="s">
        <v>300</v>
      </c>
      <c r="E83" s="88" t="s">
        <v>308</v>
      </c>
      <c r="H83" s="88">
        <v>2</v>
      </c>
    </row>
    <row r="84" spans="1:8" x14ac:dyDescent="0.25">
      <c r="A84" s="88" t="s">
        <v>284</v>
      </c>
      <c r="B84" s="88" t="s">
        <v>278</v>
      </c>
      <c r="C84" s="88" t="s">
        <v>297</v>
      </c>
      <c r="D84" s="88" t="s">
        <v>300</v>
      </c>
      <c r="E84" s="88" t="s">
        <v>308</v>
      </c>
      <c r="H84" s="88">
        <v>2</v>
      </c>
    </row>
    <row r="85" spans="1:8" x14ac:dyDescent="0.25">
      <c r="A85" s="88" t="s">
        <v>288</v>
      </c>
      <c r="B85" s="88" t="s">
        <v>278</v>
      </c>
      <c r="C85" s="88" t="s">
        <v>297</v>
      </c>
      <c r="D85" s="88" t="s">
        <v>301</v>
      </c>
      <c r="E85" s="88" t="s">
        <v>309</v>
      </c>
      <c r="H85" s="88">
        <v>2</v>
      </c>
    </row>
    <row r="86" spans="1:8" x14ac:dyDescent="0.25">
      <c r="A86" s="88" t="s">
        <v>50</v>
      </c>
      <c r="B86" s="88" t="s">
        <v>279</v>
      </c>
      <c r="C86" s="88" t="s">
        <v>297</v>
      </c>
      <c r="D86" s="88" t="s">
        <v>301</v>
      </c>
      <c r="E86" s="88" t="s">
        <v>309</v>
      </c>
      <c r="H86" s="88">
        <v>2</v>
      </c>
    </row>
    <row r="87" spans="1:8" x14ac:dyDescent="0.25">
      <c r="A87" s="88" t="s">
        <v>290</v>
      </c>
      <c r="B87" s="88" t="s">
        <v>280</v>
      </c>
      <c r="C87" s="88" t="s">
        <v>297</v>
      </c>
      <c r="D87" s="88" t="s">
        <v>301</v>
      </c>
      <c r="E87" s="88" t="s">
        <v>309</v>
      </c>
      <c r="H87" s="88">
        <v>2</v>
      </c>
    </row>
    <row r="88" spans="1:8" x14ac:dyDescent="0.25">
      <c r="A88" s="88" t="s">
        <v>291</v>
      </c>
      <c r="B88" s="88" t="s">
        <v>281</v>
      </c>
      <c r="C88" s="88" t="s">
        <v>299</v>
      </c>
      <c r="D88" s="88" t="s">
        <v>301</v>
      </c>
      <c r="E88" s="88" t="s">
        <v>309</v>
      </c>
      <c r="H88" s="88">
        <v>2</v>
      </c>
    </row>
    <row r="89" spans="1:8" x14ac:dyDescent="0.25">
      <c r="A89" s="88" t="s">
        <v>289</v>
      </c>
      <c r="B89" s="88" t="s">
        <v>278</v>
      </c>
      <c r="C89" s="88" t="s">
        <v>297</v>
      </c>
      <c r="D89" s="88" t="s">
        <v>301</v>
      </c>
      <c r="E89" s="88" t="s">
        <v>309</v>
      </c>
      <c r="H89" s="88">
        <v>2</v>
      </c>
    </row>
    <row r="90" spans="1:8" x14ac:dyDescent="0.25">
      <c r="A90" s="88" t="s">
        <v>292</v>
      </c>
      <c r="B90" s="88" t="s">
        <v>278</v>
      </c>
      <c r="C90" s="88" t="s">
        <v>297</v>
      </c>
      <c r="D90" s="88" t="s">
        <v>302</v>
      </c>
      <c r="E90" s="88" t="s">
        <v>309</v>
      </c>
      <c r="H90" s="88">
        <v>5</v>
      </c>
    </row>
    <row r="91" spans="1:8" x14ac:dyDescent="0.25">
      <c r="A91" s="88" t="s">
        <v>294</v>
      </c>
      <c r="B91" s="88" t="s">
        <v>283</v>
      </c>
      <c r="C91" s="88" t="s">
        <v>297</v>
      </c>
      <c r="D91" s="88" t="s">
        <v>302</v>
      </c>
      <c r="E91" s="88" t="s">
        <v>309</v>
      </c>
      <c r="H91" s="88">
        <v>5</v>
      </c>
    </row>
    <row r="92" spans="1:8" x14ac:dyDescent="0.25">
      <c r="A92" s="88" t="s">
        <v>293</v>
      </c>
      <c r="B92" s="88" t="s">
        <v>282</v>
      </c>
      <c r="C92" s="88" t="s">
        <v>297</v>
      </c>
      <c r="D92" s="88" t="s">
        <v>303</v>
      </c>
      <c r="E92" s="88" t="s">
        <v>310</v>
      </c>
      <c r="H92" s="88">
        <v>5</v>
      </c>
    </row>
    <row r="93" spans="1:8" x14ac:dyDescent="0.25">
      <c r="A93" s="88" t="s">
        <v>295</v>
      </c>
      <c r="B93" s="88" t="s">
        <v>278</v>
      </c>
      <c r="C93" s="88" t="s">
        <v>297</v>
      </c>
      <c r="D93" s="88" t="s">
        <v>301</v>
      </c>
      <c r="E93" s="88" t="s">
        <v>309</v>
      </c>
      <c r="H93" s="88">
        <v>5</v>
      </c>
    </row>
    <row r="94" spans="1:8" x14ac:dyDescent="0.25">
      <c r="A94" s="88" t="s">
        <v>305</v>
      </c>
      <c r="B94" s="88" t="s">
        <v>304</v>
      </c>
      <c r="C94" s="88" t="s">
        <v>297</v>
      </c>
      <c r="D94" s="88" t="s">
        <v>301</v>
      </c>
      <c r="E94" s="88" t="s">
        <v>309</v>
      </c>
      <c r="H94" s="88">
        <v>5</v>
      </c>
    </row>
    <row r="95" spans="1:8" x14ac:dyDescent="0.25">
      <c r="A95" s="88" t="s">
        <v>296</v>
      </c>
      <c r="B95" s="88" t="s">
        <v>282</v>
      </c>
      <c r="C95" s="88" t="s">
        <v>297</v>
      </c>
      <c r="D95" s="88" t="s">
        <v>303</v>
      </c>
      <c r="E95" s="88" t="s">
        <v>310</v>
      </c>
      <c r="H95" s="88">
        <v>3</v>
      </c>
    </row>
    <row r="96" spans="1:8" x14ac:dyDescent="0.25">
      <c r="A96" s="88" t="s">
        <v>315</v>
      </c>
      <c r="B96" s="88" t="s">
        <v>278</v>
      </c>
      <c r="C96" s="88" t="s">
        <v>297</v>
      </c>
      <c r="D96" s="88" t="s">
        <v>325</v>
      </c>
      <c r="E96" s="88" t="s">
        <v>330</v>
      </c>
      <c r="F96" s="88" t="s">
        <v>328</v>
      </c>
      <c r="H96" s="88">
        <v>5</v>
      </c>
    </row>
    <row r="97" spans="1:8" x14ac:dyDescent="0.25">
      <c r="A97" s="88" t="s">
        <v>316</v>
      </c>
      <c r="B97" s="88" t="s">
        <v>283</v>
      </c>
      <c r="C97" s="88" t="s">
        <v>297</v>
      </c>
      <c r="D97" s="88" t="s">
        <v>325</v>
      </c>
      <c r="E97" s="88" t="s">
        <v>330</v>
      </c>
      <c r="F97" s="88" t="s">
        <v>329</v>
      </c>
      <c r="H97" s="88">
        <v>5</v>
      </c>
    </row>
    <row r="98" spans="1:8" x14ac:dyDescent="0.25">
      <c r="A98" s="88" t="s">
        <v>317</v>
      </c>
      <c r="B98" s="88" t="s">
        <v>278</v>
      </c>
      <c r="C98" s="88" t="s">
        <v>297</v>
      </c>
      <c r="D98" s="88" t="s">
        <v>326</v>
      </c>
      <c r="E98" s="88" t="s">
        <v>330</v>
      </c>
      <c r="H98" s="88">
        <v>5</v>
      </c>
    </row>
    <row r="99" spans="1:8" x14ac:dyDescent="0.25">
      <c r="A99" s="88" t="s">
        <v>318</v>
      </c>
      <c r="B99" s="88" t="s">
        <v>283</v>
      </c>
      <c r="C99" s="88" t="s">
        <v>297</v>
      </c>
      <c r="D99" s="88" t="s">
        <v>327</v>
      </c>
      <c r="E99" s="88" t="s">
        <v>330</v>
      </c>
      <c r="H99" s="88">
        <v>5</v>
      </c>
    </row>
    <row r="100" spans="1:8" x14ac:dyDescent="0.25">
      <c r="A100" s="88" t="s">
        <v>319</v>
      </c>
      <c r="B100" s="88" t="s">
        <v>276</v>
      </c>
      <c r="C100" s="88" t="s">
        <v>297</v>
      </c>
      <c r="D100" s="111">
        <v>1</v>
      </c>
      <c r="E100" s="88" t="s">
        <v>331</v>
      </c>
      <c r="H100" s="88">
        <v>2</v>
      </c>
    </row>
    <row r="101" spans="1:8" x14ac:dyDescent="0.25">
      <c r="A101" s="88" t="s">
        <v>320</v>
      </c>
      <c r="B101" s="88" t="s">
        <v>281</v>
      </c>
      <c r="C101" s="88" t="s">
        <v>324</v>
      </c>
      <c r="D101" s="110">
        <v>1</v>
      </c>
      <c r="E101" s="88" t="s">
        <v>332</v>
      </c>
      <c r="H101" s="88">
        <v>2</v>
      </c>
    </row>
    <row r="102" spans="1:8" x14ac:dyDescent="0.25">
      <c r="A102" s="88" t="s">
        <v>321</v>
      </c>
      <c r="B102" s="88" t="s">
        <v>278</v>
      </c>
      <c r="C102" s="88" t="s">
        <v>297</v>
      </c>
      <c r="D102" s="111">
        <v>1</v>
      </c>
      <c r="E102" s="88" t="s">
        <v>331</v>
      </c>
      <c r="H102" s="88">
        <v>2</v>
      </c>
    </row>
    <row r="103" spans="1:8" x14ac:dyDescent="0.25">
      <c r="A103" s="88" t="s">
        <v>322</v>
      </c>
      <c r="B103" s="88" t="s">
        <v>278</v>
      </c>
      <c r="C103" s="88" t="s">
        <v>297</v>
      </c>
      <c r="D103" s="110">
        <v>0.3</v>
      </c>
      <c r="E103" s="88" t="s">
        <v>306</v>
      </c>
      <c r="H103" s="88">
        <v>5</v>
      </c>
    </row>
    <row r="104" spans="1:8" x14ac:dyDescent="0.25">
      <c r="A104" s="88" t="s">
        <v>323</v>
      </c>
      <c r="B104" s="88" t="s">
        <v>278</v>
      </c>
      <c r="C104" s="88" t="s">
        <v>297</v>
      </c>
      <c r="D104" s="110">
        <v>0.3</v>
      </c>
      <c r="E104" s="88" t="s">
        <v>306</v>
      </c>
      <c r="H104" s="88">
        <v>5</v>
      </c>
    </row>
    <row r="109" spans="1:8" x14ac:dyDescent="0.25">
      <c r="A109" s="84" t="s">
        <v>42</v>
      </c>
      <c r="B109" s="88">
        <v>1</v>
      </c>
      <c r="C109" s="88">
        <v>0</v>
      </c>
      <c r="D109" s="88">
        <v>0</v>
      </c>
      <c r="F109" s="88">
        <f t="shared" ref="F109:F121" si="3">C109+E109/B109</f>
        <v>0</v>
      </c>
    </row>
    <row r="110" spans="1:8" x14ac:dyDescent="0.25">
      <c r="A110" s="84" t="s">
        <v>359</v>
      </c>
      <c r="B110" s="88">
        <v>1.8</v>
      </c>
      <c r="C110" s="88">
        <v>-17.777799999999999</v>
      </c>
      <c r="D110" s="88">
        <v>0</v>
      </c>
      <c r="F110" s="88">
        <f t="shared" si="3"/>
        <v>-17.777799999999999</v>
      </c>
    </row>
    <row r="111" spans="1:8" x14ac:dyDescent="0.25">
      <c r="A111" s="88" t="s">
        <v>153</v>
      </c>
      <c r="B111" s="88">
        <v>1</v>
      </c>
      <c r="C111" s="88">
        <v>0</v>
      </c>
      <c r="D111" s="88">
        <v>0</v>
      </c>
      <c r="F111" s="88">
        <f t="shared" si="3"/>
        <v>0</v>
      </c>
    </row>
    <row r="112" spans="1:8" x14ac:dyDescent="0.25">
      <c r="A112" s="88" t="s">
        <v>159</v>
      </c>
      <c r="B112" s="88">
        <v>1</v>
      </c>
      <c r="C112" s="88">
        <v>1000</v>
      </c>
      <c r="D112" s="88">
        <v>1</v>
      </c>
      <c r="F112" s="88">
        <f t="shared" si="3"/>
        <v>1000</v>
      </c>
    </row>
    <row r="113" spans="1:6" x14ac:dyDescent="0.25">
      <c r="A113" s="88" t="s">
        <v>364</v>
      </c>
      <c r="B113" s="88">
        <f>1/0.0254</f>
        <v>39.370078740157481</v>
      </c>
      <c r="C113" s="88">
        <v>0</v>
      </c>
      <c r="D113" s="88">
        <v>0</v>
      </c>
      <c r="F113" s="88">
        <f t="shared" si="3"/>
        <v>0</v>
      </c>
    </row>
    <row r="114" spans="1:6" x14ac:dyDescent="0.25">
      <c r="A114" s="84" t="s">
        <v>237</v>
      </c>
      <c r="B114" s="88">
        <v>1</v>
      </c>
      <c r="C114" s="88">
        <v>-273.14999999999998</v>
      </c>
      <c r="D114" s="88">
        <v>0</v>
      </c>
      <c r="F114" s="88">
        <f t="shared" si="3"/>
        <v>-273.14999999999998</v>
      </c>
    </row>
    <row r="115" spans="1:6" x14ac:dyDescent="0.25">
      <c r="A115" s="88" t="s">
        <v>40</v>
      </c>
      <c r="B115" s="88">
        <v>1</v>
      </c>
      <c r="C115" s="88">
        <v>0</v>
      </c>
      <c r="D115" s="88">
        <v>0</v>
      </c>
      <c r="F115" s="88">
        <f t="shared" si="3"/>
        <v>0</v>
      </c>
    </row>
    <row r="116" spans="1:6" x14ac:dyDescent="0.25">
      <c r="A116" s="88" t="s">
        <v>44</v>
      </c>
      <c r="B116" s="88">
        <v>1</v>
      </c>
      <c r="C116" s="88">
        <v>0</v>
      </c>
      <c r="D116" s="88">
        <v>0</v>
      </c>
      <c r="F116" s="88">
        <f t="shared" si="3"/>
        <v>0</v>
      </c>
    </row>
    <row r="117" spans="1:6" x14ac:dyDescent="0.25">
      <c r="A117" s="88" t="s">
        <v>357</v>
      </c>
      <c r="B117" s="88">
        <v>1</v>
      </c>
      <c r="C117" s="88">
        <v>1000</v>
      </c>
      <c r="D117" s="88">
        <v>1</v>
      </c>
      <c r="F117" s="88">
        <f t="shared" si="3"/>
        <v>1000</v>
      </c>
    </row>
    <row r="118" spans="1:6" x14ac:dyDescent="0.25">
      <c r="A118" s="88" t="s">
        <v>355</v>
      </c>
      <c r="B118" s="88">
        <v>1</v>
      </c>
      <c r="C118" s="88">
        <v>0</v>
      </c>
      <c r="D118" s="88">
        <v>0</v>
      </c>
      <c r="F118" s="88">
        <f t="shared" si="3"/>
        <v>0</v>
      </c>
    </row>
    <row r="119" spans="1:6" x14ac:dyDescent="0.25">
      <c r="A119" s="88" t="s">
        <v>356</v>
      </c>
      <c r="B119" s="88">
        <v>1</v>
      </c>
      <c r="C119" s="88">
        <v>1000</v>
      </c>
      <c r="D119" s="88">
        <v>1</v>
      </c>
      <c r="F119" s="88">
        <f t="shared" si="3"/>
        <v>1000</v>
      </c>
    </row>
    <row r="120" spans="1:6" x14ac:dyDescent="0.25">
      <c r="A120" s="88" t="s">
        <v>358</v>
      </c>
      <c r="B120" s="88">
        <f>1/68.9476</f>
        <v>1.4503768078946912E-2</v>
      </c>
      <c r="C120" s="88">
        <v>1000</v>
      </c>
      <c r="D120" s="88">
        <v>1</v>
      </c>
      <c r="F120" s="88">
        <f t="shared" si="3"/>
        <v>1000</v>
      </c>
    </row>
    <row r="121" spans="1:6" x14ac:dyDescent="0.25">
      <c r="A121" s="88" t="s">
        <v>158</v>
      </c>
      <c r="B121" s="88">
        <f>1/68.9476</f>
        <v>1.4503768078946912E-2</v>
      </c>
      <c r="C121" s="88">
        <v>0</v>
      </c>
      <c r="D121" s="88">
        <v>0</v>
      </c>
      <c r="F121" s="88">
        <f t="shared" si="3"/>
        <v>0</v>
      </c>
    </row>
    <row r="126" spans="1:6" ht="13" x14ac:dyDescent="0.3">
      <c r="A126" s="87" t="s">
        <v>380</v>
      </c>
    </row>
    <row r="127" spans="1:6" x14ac:dyDescent="0.25">
      <c r="A127" s="88" t="s">
        <v>446</v>
      </c>
      <c r="B127" s="88">
        <f>IF(OR('Questionnaire LDS6'!E30=lookups!$E46,'Questionnaire LDS6'!E30=lookups!$E45),0,1)</f>
        <v>0</v>
      </c>
    </row>
    <row r="128" spans="1:6" x14ac:dyDescent="0.25">
      <c r="A128" s="88" t="s">
        <v>447</v>
      </c>
      <c r="B128" s="88">
        <f>IF(OR('Questionnaire LDS6'!G30=lookups!$E46,'Questionnaire LDS6'!G30=lookups!$E45),0,1)</f>
        <v>0</v>
      </c>
    </row>
    <row r="129" spans="1:8" x14ac:dyDescent="0.25">
      <c r="A129" s="88" t="s">
        <v>448</v>
      </c>
      <c r="B129" s="88">
        <f>IF(OR('Questionnaire LDS6'!I30=lookups!$E46,'Questionnaire LDS6'!I30=lookups!$E45),0,1)</f>
        <v>0</v>
      </c>
    </row>
    <row r="133" spans="1:8" x14ac:dyDescent="0.25">
      <c r="A133" s="88" t="s">
        <v>381</v>
      </c>
      <c r="B133" s="88">
        <f>IF(SUM(B127:B129)&gt;0,1,0)</f>
        <v>0</v>
      </c>
      <c r="C133" s="88" t="s">
        <v>368</v>
      </c>
      <c r="D133" s="88" t="s">
        <v>368</v>
      </c>
      <c r="E133" s="88">
        <v>0</v>
      </c>
      <c r="F133" s="88" t="s">
        <v>368</v>
      </c>
      <c r="G133" s="88" t="s">
        <v>379</v>
      </c>
      <c r="H133" s="88">
        <v>0</v>
      </c>
    </row>
    <row r="185" spans="1:46" ht="100" x14ac:dyDescent="0.25">
      <c r="A185" s="88" t="s">
        <v>50</v>
      </c>
      <c r="C185" s="88" t="s">
        <v>392</v>
      </c>
      <c r="E185" s="88" t="s">
        <v>485</v>
      </c>
      <c r="F185" s="88" t="s">
        <v>395</v>
      </c>
      <c r="G185" s="88" t="s">
        <v>476</v>
      </c>
      <c r="H185" s="88" t="s">
        <v>397</v>
      </c>
      <c r="I185" s="88" t="s">
        <v>404</v>
      </c>
      <c r="J185" s="88" t="s">
        <v>479</v>
      </c>
      <c r="K185" s="107" t="s">
        <v>510</v>
      </c>
      <c r="L185" s="107" t="s">
        <v>509</v>
      </c>
      <c r="M185" s="88" t="s">
        <v>413</v>
      </c>
      <c r="N185" s="88" t="s">
        <v>418</v>
      </c>
      <c r="P185" s="88" t="s">
        <v>532</v>
      </c>
      <c r="Q185" s="88" t="s">
        <v>513</v>
      </c>
      <c r="R185" s="88" t="s">
        <v>514</v>
      </c>
      <c r="S185" s="88" t="s">
        <v>516</v>
      </c>
      <c r="U185" s="88" t="s">
        <v>511</v>
      </c>
      <c r="X185" s="88" t="s">
        <v>488</v>
      </c>
      <c r="Y185" s="88" t="s">
        <v>421</v>
      </c>
      <c r="Z185" s="88" t="s">
        <v>424</v>
      </c>
      <c r="AA185" s="88" t="s">
        <v>430</v>
      </c>
      <c r="AB185" s="88" t="s">
        <v>431</v>
      </c>
      <c r="AC185" s="88" t="s">
        <v>428</v>
      </c>
      <c r="AD185" s="88" t="s">
        <v>427</v>
      </c>
      <c r="AE185" s="88" t="s">
        <v>426</v>
      </c>
      <c r="AF185" s="88" t="s">
        <v>436</v>
      </c>
      <c r="AG185" s="88" t="s">
        <v>437</v>
      </c>
      <c r="AH185" s="88" t="s">
        <v>439</v>
      </c>
      <c r="AQ185" s="88" t="s">
        <v>518</v>
      </c>
      <c r="AR185" s="88" t="s">
        <v>519</v>
      </c>
      <c r="AS185" s="88" t="s">
        <v>533</v>
      </c>
      <c r="AT185" s="88" t="s">
        <v>534</v>
      </c>
    </row>
    <row r="186" spans="1:46" ht="87.5" x14ac:dyDescent="0.25">
      <c r="A186" s="88" t="s">
        <v>48</v>
      </c>
      <c r="C186" s="88" t="s">
        <v>342</v>
      </c>
      <c r="E186" s="88" t="s">
        <v>486</v>
      </c>
      <c r="F186" s="88" t="s">
        <v>475</v>
      </c>
      <c r="G186" s="88" t="s">
        <v>477</v>
      </c>
      <c r="H186" s="88" t="s">
        <v>398</v>
      </c>
      <c r="I186" s="88" t="s">
        <v>405</v>
      </c>
      <c r="J186" s="88" t="s">
        <v>478</v>
      </c>
      <c r="K186" s="107" t="s">
        <v>507</v>
      </c>
      <c r="L186" s="107" t="s">
        <v>508</v>
      </c>
      <c r="M186" s="88" t="s">
        <v>414</v>
      </c>
      <c r="N186" s="88" t="s">
        <v>417</v>
      </c>
      <c r="P186" s="88" t="s">
        <v>526</v>
      </c>
      <c r="Q186" s="88" t="s">
        <v>531</v>
      </c>
      <c r="R186" s="88" t="s">
        <v>515</v>
      </c>
      <c r="S186" s="88" t="s">
        <v>517</v>
      </c>
      <c r="U186" s="88" t="s">
        <v>512</v>
      </c>
      <c r="X186" s="88" t="s">
        <v>487</v>
      </c>
      <c r="Y186" s="88" t="s">
        <v>35</v>
      </c>
      <c r="Z186" s="88" t="s">
        <v>423</v>
      </c>
      <c r="AA186" s="88" t="s">
        <v>429</v>
      </c>
      <c r="AB186" s="88" t="s">
        <v>425</v>
      </c>
      <c r="AC186" s="88" t="s">
        <v>428</v>
      </c>
      <c r="AD186" s="88" t="s">
        <v>432</v>
      </c>
      <c r="AE186" s="88" t="s">
        <v>367</v>
      </c>
      <c r="AF186" s="88" t="s">
        <v>433</v>
      </c>
      <c r="AG186" s="88" t="s">
        <v>438</v>
      </c>
      <c r="AH186" s="88" t="s">
        <v>440</v>
      </c>
      <c r="AQ186" s="88" t="s">
        <v>530</v>
      </c>
      <c r="AR186" s="88" t="s">
        <v>527</v>
      </c>
      <c r="AS186" s="88" t="s">
        <v>528</v>
      </c>
      <c r="AT186" s="88" t="s">
        <v>529</v>
      </c>
    </row>
    <row r="191" spans="1:46" x14ac:dyDescent="0.25">
      <c r="A191" s="88" t="s">
        <v>50</v>
      </c>
      <c r="B191" s="88" t="s">
        <v>201</v>
      </c>
      <c r="C191" s="88" t="s">
        <v>399</v>
      </c>
      <c r="D191" s="88" t="s">
        <v>489</v>
      </c>
      <c r="E191" s="88" t="s">
        <v>402</v>
      </c>
      <c r="F191" s="88" t="s">
        <v>406</v>
      </c>
      <c r="G191" s="88" t="s">
        <v>408</v>
      </c>
      <c r="H191" s="88" t="s">
        <v>410</v>
      </c>
      <c r="I191" s="88" t="s">
        <v>420</v>
      </c>
      <c r="J191" s="88" t="s">
        <v>444</v>
      </c>
      <c r="K191" s="88" t="s">
        <v>445</v>
      </c>
      <c r="L191" s="88" t="s">
        <v>441</v>
      </c>
    </row>
    <row r="192" spans="1:46" x14ac:dyDescent="0.25">
      <c r="A192" s="88" t="s">
        <v>48</v>
      </c>
      <c r="B192" s="88" t="s">
        <v>394</v>
      </c>
      <c r="C192" s="88" t="s">
        <v>400</v>
      </c>
      <c r="D192" s="88" t="s">
        <v>401</v>
      </c>
      <c r="E192" s="88" t="s">
        <v>403</v>
      </c>
      <c r="F192" s="88" t="s">
        <v>407</v>
      </c>
      <c r="G192" s="88" t="s">
        <v>409</v>
      </c>
      <c r="H192" s="88" t="s">
        <v>411</v>
      </c>
      <c r="I192" s="88" t="s">
        <v>419</v>
      </c>
      <c r="J192" s="88" t="s">
        <v>434</v>
      </c>
      <c r="K192" s="88" t="s">
        <v>435</v>
      </c>
      <c r="L192" s="88" t="s">
        <v>442</v>
      </c>
    </row>
    <row r="195" spans="1:11" ht="142.9" customHeight="1" x14ac:dyDescent="0.25">
      <c r="A195" s="88" t="s">
        <v>396</v>
      </c>
      <c r="B195" s="88" t="str">
        <f>VLOOKUP('General Informations'!$E$2,lookups!$A$191:$HX$192,3)</f>
        <v>Wall mounted frame</v>
      </c>
      <c r="C195" s="88" t="str">
        <f>VLOOKUP('General Informations'!$E$2,lookups!$A$191:$HX$192,6)</f>
        <v>none</v>
      </c>
      <c r="D195" s="88" t="str">
        <f>VLOOKUP('General Informations'!$E$2,lookups!$A$191:$HX$192,6)</f>
        <v>none</v>
      </c>
      <c r="E195" s="88" t="str">
        <f>VLOOKUP('General Informations'!$E$2,lookups!$A$191:$HX$192,6)</f>
        <v>none</v>
      </c>
      <c r="F195" s="88" t="s">
        <v>415</v>
      </c>
      <c r="G195" s="88" t="s">
        <v>48</v>
      </c>
      <c r="H195" s="88" t="s">
        <v>422</v>
      </c>
      <c r="I195" s="88" t="str">
        <f>VLOOKUP('General Informations'!$E$2,lookups!$A$191:$HX$192,10)</f>
        <v>Screws screwed from device side to process side</v>
      </c>
      <c r="K195" s="88" t="s">
        <v>443</v>
      </c>
    </row>
    <row r="196" spans="1:11" ht="118.15" customHeight="1" x14ac:dyDescent="0.25">
      <c r="A196" s="88" t="str">
        <f>VLOOKUP('General Informations'!$E$2,lookups!$A$191:$HX$192,2)</f>
        <v>Special length:</v>
      </c>
      <c r="B196" s="88" t="str">
        <f>VLOOKUP('General Informations'!$E$2,lookups!$A$191:$HX$192,4)</f>
        <v>Mobile frame</v>
      </c>
      <c r="C196" s="88" t="str">
        <f>VLOOKUP('General Informations'!$E$2,lookups!$A$191:$HX$192,7)</f>
        <v>Heating system with regulator, max 200°C</v>
      </c>
      <c r="D196" s="88" t="str">
        <f>VLOOKUP('General Informations'!$E$2,lookups!$A$191:$HX$192,8)</f>
        <v>required</v>
      </c>
      <c r="E196" s="88" t="s">
        <v>393</v>
      </c>
      <c r="F196" s="88" t="s">
        <v>416</v>
      </c>
      <c r="H196" s="88" t="s">
        <v>375</v>
      </c>
      <c r="I196" s="88" t="str">
        <f>VLOOKUP('General Informations'!$E$2,lookups!$A$191:$HX$192,11)</f>
        <v>Screws screwed from process side to device side</v>
      </c>
      <c r="K196" s="88" t="str">
        <f>VLOOKUP('General Informations'!$E$2,lookups!$A$191:$HX$192,12)</f>
        <v>Graphite</v>
      </c>
    </row>
    <row r="197" spans="1:11" x14ac:dyDescent="0.25">
      <c r="B197" s="88" t="str">
        <f>VLOOKUP('General Informations'!$E$2,lookups!$A$191:$HX$192,5)</f>
        <v>without frame</v>
      </c>
      <c r="E197" s="88" t="s">
        <v>412</v>
      </c>
    </row>
    <row r="198" spans="1:11" x14ac:dyDescent="0.25">
      <c r="E198" s="88" t="s">
        <v>245</v>
      </c>
    </row>
    <row r="199" spans="1:11" x14ac:dyDescent="0.25">
      <c r="E199" s="88" t="s">
        <v>246</v>
      </c>
    </row>
    <row r="200" spans="1:11" x14ac:dyDescent="0.25">
      <c r="E200" s="88" t="str">
        <f>VLOOKUP('General Informations'!$E$2,lookups!$A$191:$HX$192,9)</f>
        <v>Special length (full meters):</v>
      </c>
    </row>
    <row r="250" spans="3:3" x14ac:dyDescent="0.25">
      <c r="C250" s="88" t="s">
        <v>50</v>
      </c>
    </row>
    <row r="251" spans="3:3" x14ac:dyDescent="0.25">
      <c r="C251" s="88" t="s">
        <v>48</v>
      </c>
    </row>
  </sheetData>
  <sheetProtection algorithmName="SHA-512" hashValue="/3c7Sa/DDhsg6NAgoLzq1+DtKZAk0TqAfD8tv+iCG7M5vbnwNtkery1xEe0126VXGpjzLUCFCDGVGBjBgDXeSg==" saltValue="ifprAcI/rjACX3ceDoIdnQ==" spinCount="100000" sheet="1" selectLockedCells="1" selectUnlockedCells="1"/>
  <pageMargins left="0.7" right="0.7" top="0.75" bottom="0.75" header="0.3" footer="0.3"/>
  <pageSetup paperSize="9" orientation="portrait" r:id="rId1"/>
  <headerFooter>
    <oddFooter>&amp;LUnrestricted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General Informations</vt:lpstr>
      <vt:lpstr>Questionnaire LDS6</vt:lpstr>
      <vt:lpstr>Questionnaire SITRANS SL</vt:lpstr>
      <vt:lpstr>Gas composition and ambient</vt:lpstr>
      <vt:lpstr>Special Hardware</vt:lpstr>
      <vt:lpstr>lookups</vt:lpstr>
      <vt:lpstr>Analytics_side_towards_process_side</vt:lpstr>
      <vt:lpstr>LDS6_DE</vt:lpstr>
      <vt:lpstr>LDS6_EN</vt:lpstr>
      <vt:lpstr>Process_side_towards_analytics_side</vt:lpstr>
      <vt:lpstr>ScrewDirection</vt:lpstr>
      <vt:lpstr>SISL_DE</vt:lpstr>
      <vt:lpstr>SISL_EN</vt:lpstr>
    </vt:vector>
  </TitlesOfParts>
  <Manager>nicolas.florian@siemens.com</Manager>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Manuel</dc:creator>
  <cp:keywords>C_Unrestricted</cp:keywords>
  <cp:lastModifiedBy>Unger, Joakim (RC-US PD PA AP S)</cp:lastModifiedBy>
  <cp:lastPrinted>2018-11-13T12:36:00Z</cp:lastPrinted>
  <dcterms:created xsi:type="dcterms:W3CDTF">2016-06-03T13:40:40Z</dcterms:created>
  <dcterms:modified xsi:type="dcterms:W3CDTF">2019-09-18T14:37:01Z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_NewReviewCycle">
    <vt:lpwstr/>
  </property>
</Properties>
</file>